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k/Desktop/FInancial Modeling For Startups - Lille/COURSE - POWERPOINT PRESENTATION/3. Cash Flow Statement/"/>
    </mc:Choice>
  </mc:AlternateContent>
  <xr:revisionPtr revIDLastSave="0" documentId="13_ncr:1_{56A25C55-02A6-A740-93B5-4D0819DD3D18}" xr6:coauthVersionLast="36" xr6:coauthVersionMax="36" xr10:uidLastSave="{00000000-0000-0000-0000-000000000000}"/>
  <bookViews>
    <workbookView xWindow="7360" yWindow="1460" windowWidth="19640" windowHeight="15800" tabRatio="521" xr2:uid="{00000000-000D-0000-FFFF-FFFF00000000}"/>
  </bookViews>
  <sheets>
    <sheet name="Financial Model" sheetId="2" r:id="rId1"/>
  </sheets>
  <calcPr calcId="181029"/>
</workbook>
</file>

<file path=xl/calcChain.xml><?xml version="1.0" encoding="utf-8"?>
<calcChain xmlns="http://schemas.openxmlformats.org/spreadsheetml/2006/main">
  <c r="I87" i="2" l="1"/>
  <c r="H87" i="2"/>
  <c r="G87" i="2"/>
  <c r="F87" i="2"/>
  <c r="E87" i="2"/>
  <c r="D87" i="2"/>
  <c r="C87" i="2"/>
  <c r="E125" i="2" l="1"/>
  <c r="E126" i="2"/>
  <c r="D126" i="2"/>
  <c r="E135" i="2"/>
  <c r="E134" i="2"/>
  <c r="E133" i="2"/>
  <c r="F82" i="2" l="1"/>
  <c r="G82" i="2"/>
  <c r="H82" i="2"/>
  <c r="I82" i="2"/>
  <c r="E82" i="2"/>
  <c r="F79" i="2"/>
  <c r="G79" i="2"/>
  <c r="H79" i="2"/>
  <c r="I79" i="2"/>
  <c r="E79" i="2"/>
  <c r="E50" i="2" l="1"/>
  <c r="C199" i="2" l="1"/>
  <c r="E42" i="2" l="1"/>
  <c r="C171" i="2"/>
  <c r="C175" i="2"/>
  <c r="C178" i="2"/>
  <c r="C185" i="2"/>
  <c r="C186" i="2"/>
  <c r="C120" i="2"/>
  <c r="D120" i="2"/>
  <c r="D122" i="2"/>
  <c r="D123" i="2"/>
  <c r="D124" i="2"/>
  <c r="D125" i="2"/>
  <c r="C129" i="2"/>
  <c r="C130" i="2" s="1"/>
  <c r="D129" i="2"/>
  <c r="D130" i="2" s="1"/>
  <c r="D133" i="2"/>
  <c r="D134" i="2"/>
  <c r="D135" i="2"/>
  <c r="D136" i="2"/>
  <c r="C137" i="2"/>
  <c r="C98" i="2"/>
  <c r="D95" i="2" s="1"/>
  <c r="D24" i="2" s="1"/>
  <c r="C104" i="2"/>
  <c r="D101" i="2" s="1"/>
  <c r="D104" i="2" s="1"/>
  <c r="E101" i="2" s="1"/>
  <c r="C63" i="2"/>
  <c r="D63" i="2"/>
  <c r="C74" i="2"/>
  <c r="C76" i="2" s="1"/>
  <c r="D74" i="2"/>
  <c r="D76" i="2" s="1"/>
  <c r="C44" i="2"/>
  <c r="C9" i="2" s="1"/>
  <c r="D44" i="2"/>
  <c r="D9" i="2" s="1"/>
  <c r="C46" i="2"/>
  <c r="C11" i="2" s="1"/>
  <c r="D46" i="2"/>
  <c r="D11" i="2" s="1"/>
  <c r="D8" i="2"/>
  <c r="C10" i="2"/>
  <c r="D10" i="2"/>
  <c r="C12" i="2"/>
  <c r="D12" i="2"/>
  <c r="C13" i="2"/>
  <c r="D13" i="2"/>
  <c r="E14" i="2"/>
  <c r="F14" i="2"/>
  <c r="G14" i="2"/>
  <c r="H14" i="2"/>
  <c r="I14" i="2"/>
  <c r="D16" i="2"/>
  <c r="C24" i="2"/>
  <c r="C27" i="2"/>
  <c r="D27" i="2"/>
  <c r="C28" i="2"/>
  <c r="D28" i="2"/>
  <c r="C29" i="2"/>
  <c r="D29" i="2"/>
  <c r="C31" i="2"/>
  <c r="D31" i="2"/>
  <c r="C33" i="2"/>
  <c r="D33" i="2"/>
  <c r="C35" i="2"/>
  <c r="D35" i="2"/>
  <c r="E37" i="2"/>
  <c r="F37" i="2"/>
  <c r="G37" i="2"/>
  <c r="H37" i="2"/>
  <c r="I37" i="2"/>
  <c r="F2" i="2"/>
  <c r="G2" i="2" s="1"/>
  <c r="H2" i="2" s="1"/>
  <c r="I2" i="2" s="1"/>
  <c r="C49" i="2" l="1"/>
  <c r="C51" i="2" s="1"/>
  <c r="C20" i="2" s="1"/>
  <c r="C106" i="2"/>
  <c r="C23" i="2" s="1"/>
  <c r="C187" i="2"/>
  <c r="C188" i="2" s="1"/>
  <c r="E45" i="2"/>
  <c r="E61" i="2"/>
  <c r="E122" i="2" s="1"/>
  <c r="E106" i="2"/>
  <c r="E66" i="2" s="1"/>
  <c r="D137" i="2"/>
  <c r="C180" i="2"/>
  <c r="C14" i="2"/>
  <c r="D14" i="2"/>
  <c r="F42" i="2"/>
  <c r="E48" i="2"/>
  <c r="E47" i="2"/>
  <c r="D98" i="2"/>
  <c r="E95" i="2" s="1"/>
  <c r="E97" i="2" s="1"/>
  <c r="E103" i="2" s="1"/>
  <c r="E46" i="2"/>
  <c r="E43" i="2"/>
  <c r="D49" i="2"/>
  <c r="D51" i="2" s="1"/>
  <c r="E102" i="2" l="1"/>
  <c r="E120" i="2"/>
  <c r="C191" i="2"/>
  <c r="C66" i="2"/>
  <c r="C68" i="2" s="1"/>
  <c r="C53" i="2"/>
  <c r="C37" i="2" s="1"/>
  <c r="E104" i="2"/>
  <c r="F101" i="2" s="1"/>
  <c r="E44" i="2"/>
  <c r="E49" i="2" s="1"/>
  <c r="E51" i="2" s="1"/>
  <c r="E72" i="2"/>
  <c r="E124" i="2" s="1"/>
  <c r="E62" i="2"/>
  <c r="E123" i="2" s="1"/>
  <c r="F61" i="2"/>
  <c r="F106" i="2"/>
  <c r="F66" i="2" s="1"/>
  <c r="H164" i="2"/>
  <c r="H166" i="2" s="1"/>
  <c r="I164" i="2"/>
  <c r="I166" i="2" s="1"/>
  <c r="F164" i="2"/>
  <c r="F166" i="2" s="1"/>
  <c r="E164" i="2"/>
  <c r="E166" i="2" s="1"/>
  <c r="G164" i="2"/>
  <c r="G166" i="2" s="1"/>
  <c r="D106" i="2"/>
  <c r="D23" i="2" s="1"/>
  <c r="F45" i="2"/>
  <c r="F46" i="2"/>
  <c r="F47" i="2"/>
  <c r="F48" i="2"/>
  <c r="F102" i="2" s="1"/>
  <c r="G42" i="2"/>
  <c r="F43" i="2"/>
  <c r="D53" i="2"/>
  <c r="D20" i="2"/>
  <c r="C111" i="2" l="1"/>
  <c r="C113" i="2" s="1"/>
  <c r="D110" i="2" s="1"/>
  <c r="C119" i="2"/>
  <c r="C126" i="2" s="1"/>
  <c r="C139" i="2" s="1"/>
  <c r="C141" i="2" s="1"/>
  <c r="C192" i="2"/>
  <c r="C193" i="2" s="1"/>
  <c r="C197" i="2" s="1"/>
  <c r="C196" i="2"/>
  <c r="G61" i="2"/>
  <c r="G106" i="2"/>
  <c r="G66" i="2" s="1"/>
  <c r="E52" i="2"/>
  <c r="E73" i="2" s="1"/>
  <c r="F44" i="2"/>
  <c r="F49" i="2" s="1"/>
  <c r="F72" i="2"/>
  <c r="F62" i="2"/>
  <c r="D37" i="2"/>
  <c r="D111" i="2"/>
  <c r="D113" i="2" s="1"/>
  <c r="E110" i="2" s="1"/>
  <c r="D119" i="2"/>
  <c r="D139" i="2" s="1"/>
  <c r="G43" i="2"/>
  <c r="G45" i="2"/>
  <c r="G46" i="2"/>
  <c r="G47" i="2"/>
  <c r="G48" i="2"/>
  <c r="G102" i="2" s="1"/>
  <c r="H42" i="2"/>
  <c r="D66" i="2"/>
  <c r="D68" i="2" s="1"/>
  <c r="C83" i="2" l="1"/>
  <c r="C198" i="2"/>
  <c r="C200" i="2" s="1"/>
  <c r="C204" i="2" s="1"/>
  <c r="C118" i="2"/>
  <c r="D140" i="2"/>
  <c r="D141" i="2" s="1"/>
  <c r="E53" i="2"/>
  <c r="G44" i="2"/>
  <c r="G49" i="2" s="1"/>
  <c r="G72" i="2"/>
  <c r="G62" i="2"/>
  <c r="H61" i="2"/>
  <c r="H106" i="2"/>
  <c r="H66" i="2" s="1"/>
  <c r="D83" i="2"/>
  <c r="H43" i="2"/>
  <c r="H46" i="2"/>
  <c r="H47" i="2"/>
  <c r="H45" i="2"/>
  <c r="H48" i="2"/>
  <c r="H102" i="2" s="1"/>
  <c r="I42" i="2"/>
  <c r="D118" i="2" l="1"/>
  <c r="E140" i="2"/>
  <c r="C84" i="2"/>
  <c r="C85" i="2" s="1"/>
  <c r="C3" i="2" s="1"/>
  <c r="E111" i="2"/>
  <c r="E112" i="2" s="1"/>
  <c r="E74" i="2" s="1"/>
  <c r="E119" i="2"/>
  <c r="I61" i="2"/>
  <c r="I106" i="2"/>
  <c r="I66" i="2" s="1"/>
  <c r="H44" i="2"/>
  <c r="H49" i="2" s="1"/>
  <c r="H72" i="2"/>
  <c r="H62" i="2"/>
  <c r="I45" i="2"/>
  <c r="I47" i="2"/>
  <c r="I43" i="2"/>
  <c r="I46" i="2"/>
  <c r="I48" i="2"/>
  <c r="I102" i="2" s="1"/>
  <c r="D84" i="2"/>
  <c r="D85" i="2" s="1"/>
  <c r="D3" i="2" s="1"/>
  <c r="E113" i="2" l="1"/>
  <c r="F110" i="2" s="1"/>
  <c r="I44" i="2"/>
  <c r="I49" i="2" s="1"/>
  <c r="I72" i="2"/>
  <c r="I62" i="2"/>
  <c r="E98" i="2"/>
  <c r="E83" i="2" l="1"/>
  <c r="E96" i="2"/>
  <c r="E129" i="2" s="1"/>
  <c r="E130" i="2" s="1"/>
  <c r="F95" i="2"/>
  <c r="F97" i="2" s="1"/>
  <c r="F103" i="2" s="1"/>
  <c r="F104" i="2" s="1"/>
  <c r="E84" i="2"/>
  <c r="E75" i="2"/>
  <c r="E136" i="2" s="1"/>
  <c r="E137" i="2" s="1"/>
  <c r="E139" i="2" s="1"/>
  <c r="E141" i="2" s="1"/>
  <c r="E60" i="2" l="1"/>
  <c r="F98" i="2"/>
  <c r="G101" i="2"/>
  <c r="F96" i="2" l="1"/>
  <c r="G95" i="2"/>
  <c r="G97" i="2" s="1"/>
  <c r="G103" i="2" s="1"/>
  <c r="G104" i="2" s="1"/>
  <c r="E63" i="2"/>
  <c r="E68" i="2" s="1"/>
  <c r="E118" i="2"/>
  <c r="F50" i="2"/>
  <c r="F51" i="2" s="1"/>
  <c r="F52" i="2" s="1"/>
  <c r="E76" i="2"/>
  <c r="E85" i="2" s="1"/>
  <c r="E3" i="2" l="1"/>
  <c r="F53" i="2"/>
  <c r="F111" i="2" s="1"/>
  <c r="F73" i="2"/>
  <c r="H101" i="2"/>
  <c r="G98" i="2"/>
  <c r="H95" i="2" l="1"/>
  <c r="H97" i="2" s="1"/>
  <c r="H103" i="2" s="1"/>
  <c r="H104" i="2" s="1"/>
  <c r="G96" i="2"/>
  <c r="F112" i="2"/>
  <c r="F74" i="2" s="1"/>
  <c r="F113" i="2" l="1"/>
  <c r="G110" i="2" s="1"/>
  <c r="I101" i="2"/>
  <c r="H98" i="2"/>
  <c r="F83" i="2" l="1"/>
  <c r="F75" i="2" s="1"/>
  <c r="I95" i="2"/>
  <c r="I97" i="2" s="1"/>
  <c r="I103" i="2" s="1"/>
  <c r="I104" i="2" s="1"/>
  <c r="I98" i="2" s="1"/>
  <c r="I96" i="2" s="1"/>
  <c r="H96" i="2"/>
  <c r="F84" i="2" l="1"/>
  <c r="F60" i="2"/>
  <c r="G50" i="2" l="1"/>
  <c r="G51" i="2" s="1"/>
  <c r="F76" i="2"/>
  <c r="F85" i="2" s="1"/>
  <c r="F118" i="2"/>
  <c r="F63" i="2"/>
  <c r="F68" i="2" s="1"/>
  <c r="F3" i="2" l="1"/>
  <c r="G52" i="2"/>
  <c r="G73" i="2" s="1"/>
  <c r="G53" i="2" l="1"/>
  <c r="G111" i="2" s="1"/>
  <c r="G112" i="2" s="1"/>
  <c r="G74" i="2" s="1"/>
  <c r="G113" i="2" l="1"/>
  <c r="H110" i="2" s="1"/>
  <c r="G83" i="2" l="1"/>
  <c r="G84" i="2" s="1"/>
  <c r="G75" i="2" l="1"/>
  <c r="G60" i="2" l="1"/>
  <c r="G118" i="2" s="1"/>
  <c r="H50" i="2"/>
  <c r="H51" i="2" s="1"/>
  <c r="G76" i="2"/>
  <c r="G85" i="2" s="1"/>
  <c r="G63" i="2" l="1"/>
  <c r="G68" i="2" s="1"/>
  <c r="G3" i="2"/>
  <c r="H52" i="2"/>
  <c r="H73" i="2" s="1"/>
  <c r="H53" i="2" l="1"/>
  <c r="H111" i="2" s="1"/>
  <c r="H112" i="2" s="1"/>
  <c r="H74" i="2" l="1"/>
  <c r="H113" i="2"/>
  <c r="I110" i="2" s="1"/>
  <c r="H83" i="2" l="1"/>
  <c r="H84" i="2" s="1"/>
  <c r="H75" i="2" l="1"/>
  <c r="H60" i="2" l="1"/>
  <c r="H118" i="2" s="1"/>
  <c r="I50" i="2"/>
  <c r="I51" i="2" s="1"/>
  <c r="H76" i="2"/>
  <c r="H85" i="2" s="1"/>
  <c r="H63" i="2" l="1"/>
  <c r="H68" i="2" s="1"/>
  <c r="H3" i="2" s="1"/>
  <c r="I52" i="2"/>
  <c r="I73" i="2" s="1"/>
  <c r="I53" i="2" l="1"/>
  <c r="I111" i="2" s="1"/>
  <c r="I112" i="2" s="1"/>
  <c r="I74" i="2" s="1"/>
  <c r="I113" i="2" l="1"/>
  <c r="I83" i="2" s="1"/>
  <c r="I84" i="2" s="1"/>
  <c r="I75" i="2" l="1"/>
  <c r="I60" i="2" l="1"/>
  <c r="I76" i="2"/>
  <c r="I85" i="2" s="1"/>
  <c r="I63" i="2" l="1"/>
  <c r="I68" i="2" s="1"/>
  <c r="I3" i="2" s="1"/>
  <c r="I118" i="2"/>
</calcChain>
</file>

<file path=xl/sharedStrings.xml><?xml version="1.0" encoding="utf-8"?>
<sst xmlns="http://schemas.openxmlformats.org/spreadsheetml/2006/main" count="170" uniqueCount="146">
  <si>
    <t>Income before taxes</t>
  </si>
  <si>
    <t>Taxes</t>
  </si>
  <si>
    <t>Interest</t>
  </si>
  <si>
    <t>Assets</t>
  </si>
  <si>
    <t>Cash</t>
  </si>
  <si>
    <t>Trade and other receivables</t>
  </si>
  <si>
    <t>Inventories</t>
  </si>
  <si>
    <t>Non-current assets</t>
  </si>
  <si>
    <t>Property and equipment, net</t>
  </si>
  <si>
    <t>Accumulated depreciation</t>
  </si>
  <si>
    <t>Liabilities and shareholders' equity</t>
  </si>
  <si>
    <t>Current assets:</t>
  </si>
  <si>
    <t>Total current assets</t>
  </si>
  <si>
    <t>Shareholder's equity:</t>
  </si>
  <si>
    <t>Retained earnings</t>
  </si>
  <si>
    <t>Total shareholders' equity</t>
  </si>
  <si>
    <t>Total liabilities and shareholders' equity</t>
  </si>
  <si>
    <t>Trade and other payables</t>
  </si>
  <si>
    <t>Net income</t>
  </si>
  <si>
    <t>Depreciation</t>
  </si>
  <si>
    <t xml:space="preserve">  Inventories</t>
  </si>
  <si>
    <t xml:space="preserve">  Trade and other receivables</t>
  </si>
  <si>
    <t xml:space="preserve">  Trade and other payables</t>
  </si>
  <si>
    <t>Cash flows from financing activities</t>
  </si>
  <si>
    <t>Investing activities:</t>
  </si>
  <si>
    <t>Financing activities:</t>
  </si>
  <si>
    <t xml:space="preserve">  Issuance of common stock</t>
  </si>
  <si>
    <t>Total assets</t>
  </si>
  <si>
    <t>Revenues</t>
  </si>
  <si>
    <t>COGS</t>
  </si>
  <si>
    <t>Gross profit</t>
  </si>
  <si>
    <t>EBIT</t>
  </si>
  <si>
    <t>Balance Sheet Check</t>
  </si>
  <si>
    <t>Balance Sheet</t>
  </si>
  <si>
    <t>Income Statement</t>
  </si>
  <si>
    <t>Supporting Schedules</t>
  </si>
  <si>
    <t>Cash Flow Statement</t>
  </si>
  <si>
    <t>Forecast --&gt;</t>
  </si>
  <si>
    <t>Historical --&gt;</t>
  </si>
  <si>
    <t>Assumptions &amp; Drivers</t>
  </si>
  <si>
    <t>DividendPayoutRatio</t>
  </si>
  <si>
    <t>CommonShares</t>
  </si>
  <si>
    <t>LongTermDebt</t>
  </si>
  <si>
    <t>IncomeTaxPayable</t>
  </si>
  <si>
    <t>PayableDaysCOGSBasis</t>
  </si>
  <si>
    <t>InventoryDaysCOGSBasis</t>
  </si>
  <si>
    <t>ReceivableDaysSalesBasis</t>
  </si>
  <si>
    <t>Net value of disposals = 0</t>
  </si>
  <si>
    <t>DisposalsPercentofGrossAssets</t>
  </si>
  <si>
    <t>Balance sheet</t>
  </si>
  <si>
    <t>TaxRatePercentofEBT</t>
  </si>
  <si>
    <t>ShortTermDebtFlatFee</t>
  </si>
  <si>
    <t>ShortTermDebtInterest</t>
  </si>
  <si>
    <t>LongTermDebtInterest</t>
  </si>
  <si>
    <t>OperatingIncomePercentofSales</t>
  </si>
  <si>
    <t>DepreciationPercentofSales</t>
  </si>
  <si>
    <t>ResearchExpensePercentofSales</t>
  </si>
  <si>
    <t>MarketingExpensePercentofSales</t>
  </si>
  <si>
    <t>DistributionExpensePercentofSales</t>
  </si>
  <si>
    <t>GrossMargin</t>
  </si>
  <si>
    <t>SalesGrowthPercent</t>
  </si>
  <si>
    <t>Income statement</t>
  </si>
  <si>
    <t>USD millions</t>
  </si>
  <si>
    <t>Research and development</t>
  </si>
  <si>
    <t>Marketing and administration</t>
  </si>
  <si>
    <t>Distribution expenses</t>
  </si>
  <si>
    <t>Cash working</t>
  </si>
  <si>
    <t>Common stock and additional paid-in capital</t>
  </si>
  <si>
    <t>Long-term debt</t>
  </si>
  <si>
    <t>Non-current liabilities:</t>
  </si>
  <si>
    <t>Total current liabilities:</t>
  </si>
  <si>
    <t>Short-term debt</t>
  </si>
  <si>
    <t>Dividends payable</t>
  </si>
  <si>
    <t>Income taxes payable</t>
  </si>
  <si>
    <t>Current liabilities:</t>
  </si>
  <si>
    <t>At 31st December</t>
  </si>
  <si>
    <t>Dividends</t>
  </si>
  <si>
    <t>At 1st January</t>
  </si>
  <si>
    <t>Disposals</t>
  </si>
  <si>
    <t>Current year's expense</t>
  </si>
  <si>
    <t>Acquisitions</t>
  </si>
  <si>
    <t>Property and equipment</t>
  </si>
  <si>
    <t>Gross PP&amp;E</t>
  </si>
  <si>
    <t>Net PP&amp;E</t>
  </si>
  <si>
    <t>Cash and equivalents, end of the year</t>
  </si>
  <si>
    <t>Cash and equivalents, beginning of the year</t>
  </si>
  <si>
    <t>Increase/(decrease) in cash and equivalents</t>
  </si>
  <si>
    <t xml:space="preserve">  Increase/(decrease) in short-term debt</t>
  </si>
  <si>
    <t xml:space="preserve">  Increase/(decrease) in long-term debt</t>
  </si>
  <si>
    <t xml:space="preserve">  Dividends for the previous year</t>
  </si>
  <si>
    <t>Cash flows from investing activities</t>
  </si>
  <si>
    <t xml:space="preserve">  Acquisitions of property and equipment</t>
  </si>
  <si>
    <t>Net cash provided by operating activities</t>
  </si>
  <si>
    <t xml:space="preserve">  Income taxes payable</t>
  </si>
  <si>
    <t>Changes in operating assets and liabilities:</t>
  </si>
  <si>
    <t>Cash flows from operating activities:</t>
  </si>
  <si>
    <t>Free Cash Flow Valuation</t>
  </si>
  <si>
    <t>Stock fair value</t>
  </si>
  <si>
    <t>Number of stocks in issue</t>
  </si>
  <si>
    <t>Market Capitalization</t>
  </si>
  <si>
    <t>Net Debt</t>
  </si>
  <si>
    <t>Enterprise Value</t>
  </si>
  <si>
    <t>Terminal Value PV</t>
  </si>
  <si>
    <t>Forecast Period PV</t>
  </si>
  <si>
    <t>Valuation</t>
  </si>
  <si>
    <t>Present value of TV</t>
  </si>
  <si>
    <t>Discount factor</t>
  </si>
  <si>
    <t>Terminal value</t>
  </si>
  <si>
    <t>Terminal value calculation</t>
  </si>
  <si>
    <t>2018 cash flow (grown by TV growth rate)</t>
  </si>
  <si>
    <t>Adjusted 2017 cash flow</t>
  </si>
  <si>
    <t>Maintenance CAPEX adjustment</t>
  </si>
  <si>
    <t>Last year of forecast period</t>
  </si>
  <si>
    <t>Terminal value free cash flow to the firm</t>
  </si>
  <si>
    <t>TerminalValueGrowthRate</t>
  </si>
  <si>
    <t>WACC</t>
  </si>
  <si>
    <t>EquityWeighting</t>
  </si>
  <si>
    <t>DebtWeighting</t>
  </si>
  <si>
    <t>AfterTaxCostofDebt</t>
  </si>
  <si>
    <t>TaxRate</t>
  </si>
  <si>
    <t>PreTaxCostofDebt</t>
  </si>
  <si>
    <t>CAPMCostofEquity</t>
  </si>
  <si>
    <t>Beta</t>
  </si>
  <si>
    <t>RiskPremium</t>
  </si>
  <si>
    <t>RiskFreeRate</t>
  </si>
  <si>
    <t>Present value</t>
  </si>
  <si>
    <t>Free cash flow to the firm</t>
  </si>
  <si>
    <t>Operating tax</t>
  </si>
  <si>
    <t xml:space="preserve">EBITDA </t>
  </si>
  <si>
    <t>CapitalAssetTurnover</t>
  </si>
  <si>
    <t>Note A</t>
  </si>
  <si>
    <t>B</t>
  </si>
  <si>
    <t>C</t>
  </si>
  <si>
    <t>D</t>
  </si>
  <si>
    <t>E</t>
  </si>
  <si>
    <t>F</t>
  </si>
  <si>
    <t>G</t>
  </si>
  <si>
    <t>SUM &amp; COPY</t>
  </si>
  <si>
    <t>H</t>
  </si>
  <si>
    <t>SUM</t>
  </si>
  <si>
    <t>I</t>
  </si>
  <si>
    <t>J</t>
  </si>
  <si>
    <t>K</t>
  </si>
  <si>
    <t>L</t>
  </si>
  <si>
    <t>N</t>
  </si>
  <si>
    <t>M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</si>
</sst>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0.0%"/>
    <numFmt numFmtId="166" formatCode="[Blue]#,##0;[Blue]\(#,##0\);\-"/>
    <numFmt numFmtId="167" formatCode="_-* #,##0_-;\(#,##0\)_-;_-* &quot;-&quot;_-;_-@_-"/>
    <numFmt numFmtId="168" formatCode="#,##0_);[Red]\(#,##0\);\-"/>
    <numFmt numFmtId="169" formatCode="#,##0_);\(#,##0\);\-"/>
    <numFmt numFmtId="170" formatCode="#,##0.00_);\(#,##0.00\);\-"/>
    <numFmt numFmtId="171" formatCode="#,##0.0000_);\(#,##0.0000\);\-"/>
  </numFmts>
  <fonts count="41">
    <font>
      <sz val="10"/>
      <name val="Arial"/>
      <family val="2"/>
    </font>
    <font>
      <sz val="10"/>
      <name val="Bookman"/>
    </font>
    <font>
      <sz val="8"/>
      <name val="Book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Book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rgb="FF0000FF"/>
      <name val="Arial Narrow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32E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0" fontId="0" fillId="0" borderId="0" xfId="0"/>
    <xf numFmtId="37" fontId="29" fillId="24" borderId="0" xfId="0" applyNumberFormat="1" applyFont="1" applyFill="1" applyAlignment="1">
      <alignment vertical="top"/>
    </xf>
    <xf numFmtId="37" fontId="30" fillId="0" borderId="0" xfId="0" applyNumberFormat="1" applyFont="1"/>
    <xf numFmtId="0" fontId="22" fillId="0" borderId="0" xfId="0" applyFont="1" applyProtection="1"/>
    <xf numFmtId="0" fontId="23" fillId="0" borderId="0" xfId="0" applyFont="1" applyProtection="1"/>
    <xf numFmtId="37" fontId="22" fillId="25" borderId="0" xfId="0" applyNumberFormat="1" applyFont="1" applyFill="1" applyAlignment="1">
      <alignment vertical="top"/>
    </xf>
    <xf numFmtId="37" fontId="31" fillId="26" borderId="0" xfId="0" applyNumberFormat="1" applyFont="1" applyFill="1" applyAlignment="1">
      <alignment vertical="center"/>
    </xf>
    <xf numFmtId="0" fontId="23" fillId="0" borderId="0" xfId="0" applyFont="1"/>
    <xf numFmtId="37" fontId="32" fillId="24" borderId="0" xfId="0" applyNumberFormat="1" applyFont="1" applyFill="1" applyAlignment="1">
      <alignment vertical="top"/>
    </xf>
    <xf numFmtId="37" fontId="24" fillId="25" borderId="0" xfId="0" applyNumberFormat="1" applyFont="1" applyFill="1" applyAlignment="1">
      <alignment vertical="top"/>
    </xf>
    <xf numFmtId="37" fontId="33" fillId="24" borderId="0" xfId="0" applyNumberFormat="1" applyFont="1" applyFill="1" applyAlignment="1">
      <alignment vertical="top"/>
    </xf>
    <xf numFmtId="165" fontId="23" fillId="0" borderId="0" xfId="40" applyNumberFormat="1" applyFont="1" applyFill="1"/>
    <xf numFmtId="0" fontId="23" fillId="0" borderId="0" xfId="0" applyFont="1" applyFill="1"/>
    <xf numFmtId="38" fontId="23" fillId="0" borderId="0" xfId="0" applyNumberFormat="1" applyFont="1" applyFill="1"/>
    <xf numFmtId="0" fontId="25" fillId="0" borderId="0" xfId="0" applyFont="1"/>
    <xf numFmtId="165" fontId="23" fillId="0" borderId="10" xfId="0" applyNumberFormat="1" applyFont="1" applyFill="1" applyBorder="1"/>
    <xf numFmtId="165" fontId="23" fillId="0" borderId="0" xfId="40" applyNumberFormat="1" applyFont="1" applyFill="1" applyBorder="1"/>
    <xf numFmtId="165" fontId="23" fillId="0" borderId="0" xfId="0" applyNumberFormat="1" applyFont="1" applyFill="1"/>
    <xf numFmtId="0" fontId="26" fillId="25" borderId="0" xfId="0" applyNumberFormat="1" applyFont="1" applyFill="1" applyAlignment="1" applyProtection="1">
      <alignment horizontal="right"/>
    </xf>
    <xf numFmtId="0" fontId="31" fillId="24" borderId="0" xfId="0" applyNumberFormat="1" applyFont="1" applyFill="1" applyAlignment="1" applyProtection="1">
      <alignment horizontal="right"/>
    </xf>
    <xf numFmtId="165" fontId="34" fillId="0" borderId="0" xfId="40" applyNumberFormat="1" applyFont="1" applyFill="1"/>
    <xf numFmtId="168" fontId="23" fillId="0" borderId="11" xfId="0" applyNumberFormat="1" applyFont="1" applyFill="1" applyBorder="1"/>
    <xf numFmtId="168" fontId="23" fillId="0" borderId="0" xfId="0" applyNumberFormat="1" applyFont="1" applyFill="1"/>
    <xf numFmtId="168" fontId="23" fillId="0" borderId="0" xfId="0" applyNumberFormat="1" applyFont="1"/>
    <xf numFmtId="169" fontId="34" fillId="0" borderId="0" xfId="0" applyNumberFormat="1" applyFont="1" applyFill="1"/>
    <xf numFmtId="169" fontId="34" fillId="0" borderId="12" xfId="0" applyNumberFormat="1" applyFont="1" applyFill="1" applyBorder="1"/>
    <xf numFmtId="169" fontId="34" fillId="0" borderId="0" xfId="0" applyNumberFormat="1" applyFont="1" applyFill="1" applyBorder="1"/>
    <xf numFmtId="168" fontId="23" fillId="0" borderId="13" xfId="0" applyNumberFormat="1" applyFont="1" applyFill="1" applyBorder="1"/>
    <xf numFmtId="168" fontId="23" fillId="0" borderId="14" xfId="0" applyNumberFormat="1" applyFont="1" applyFill="1" applyBorder="1"/>
    <xf numFmtId="168" fontId="23" fillId="0" borderId="10" xfId="0" applyNumberFormat="1" applyFont="1" applyFill="1" applyBorder="1"/>
    <xf numFmtId="169" fontId="23" fillId="0" borderId="0" xfId="0" applyNumberFormat="1" applyFont="1" applyFill="1"/>
    <xf numFmtId="169" fontId="23" fillId="0" borderId="13" xfId="0" applyNumberFormat="1" applyFont="1" applyFill="1" applyBorder="1"/>
    <xf numFmtId="169" fontId="23" fillId="0" borderId="11" xfId="0" applyNumberFormat="1" applyFont="1" applyFill="1" applyBorder="1"/>
    <xf numFmtId="169" fontId="23" fillId="0" borderId="0" xfId="0" applyNumberFormat="1" applyFont="1" applyFill="1" applyBorder="1"/>
    <xf numFmtId="169" fontId="23" fillId="0" borderId="12" xfId="0" applyNumberFormat="1" applyFont="1" applyFill="1" applyBorder="1"/>
    <xf numFmtId="169" fontId="23" fillId="0" borderId="15" xfId="0" applyNumberFormat="1" applyFont="1" applyFill="1" applyBorder="1"/>
    <xf numFmtId="169" fontId="23" fillId="0" borderId="0" xfId="0" applyNumberFormat="1" applyFont="1" applyProtection="1"/>
    <xf numFmtId="169" fontId="23" fillId="0" borderId="0" xfId="0" applyNumberFormat="1" applyFont="1"/>
    <xf numFmtId="169" fontId="23" fillId="0" borderId="10" xfId="0" applyNumberFormat="1" applyFont="1" applyFill="1" applyBorder="1"/>
    <xf numFmtId="169" fontId="23" fillId="0" borderId="12" xfId="0" applyNumberFormat="1" applyFont="1" applyBorder="1"/>
    <xf numFmtId="165" fontId="23" fillId="0" borderId="10" xfId="40" applyNumberFormat="1" applyFont="1" applyFill="1" applyBorder="1"/>
    <xf numFmtId="1" fontId="23" fillId="0" borderId="0" xfId="0" applyNumberFormat="1" applyFont="1"/>
    <xf numFmtId="1" fontId="23" fillId="0" borderId="0" xfId="0" applyNumberFormat="1" applyFont="1" applyFill="1"/>
    <xf numFmtId="0" fontId="25" fillId="0" borderId="0" xfId="0" applyFont="1" applyProtection="1"/>
    <xf numFmtId="38" fontId="23" fillId="0" borderId="0" xfId="0" applyNumberFormat="1" applyFont="1" applyProtection="1"/>
    <xf numFmtId="38" fontId="25" fillId="0" borderId="0" xfId="0" applyNumberFormat="1" applyFont="1" applyFill="1" applyBorder="1" applyProtection="1"/>
    <xf numFmtId="38" fontId="23" fillId="0" borderId="0" xfId="0" applyNumberFormat="1" applyFont="1" applyFill="1" applyProtection="1"/>
    <xf numFmtId="10" fontId="23" fillId="0" borderId="16" xfId="41" applyNumberFormat="1" applyFont="1" applyFill="1" applyBorder="1" applyProtection="1"/>
    <xf numFmtId="0" fontId="23" fillId="0" borderId="0" xfId="0" applyFont="1" applyFill="1" applyProtection="1"/>
    <xf numFmtId="0" fontId="27" fillId="0" borderId="0" xfId="0" applyFont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9" fontId="23" fillId="0" borderId="0" xfId="41" applyFont="1" applyFill="1" applyProtection="1"/>
    <xf numFmtId="10" fontId="34" fillId="0" borderId="0" xfId="0" applyNumberFormat="1" applyFont="1" applyFill="1" applyProtection="1">
      <protection locked="0"/>
    </xf>
    <xf numFmtId="2" fontId="34" fillId="0" borderId="0" xfId="0" applyNumberFormat="1" applyFont="1" applyFill="1" applyProtection="1">
      <protection locked="0"/>
    </xf>
    <xf numFmtId="10" fontId="34" fillId="0" borderId="0" xfId="0" applyNumberFormat="1" applyFont="1" applyFill="1" applyProtection="1"/>
    <xf numFmtId="169" fontId="23" fillId="0" borderId="0" xfId="0" applyNumberFormat="1" applyFont="1" applyFill="1" applyProtection="1"/>
    <xf numFmtId="169" fontId="23" fillId="0" borderId="12" xfId="0" applyNumberFormat="1" applyFont="1" applyFill="1" applyBorder="1" applyProtection="1"/>
    <xf numFmtId="169" fontId="25" fillId="0" borderId="0" xfId="0" applyNumberFormat="1" applyFont="1" applyFill="1" applyProtection="1"/>
    <xf numFmtId="169" fontId="23" fillId="0" borderId="10" xfId="0" applyNumberFormat="1" applyFont="1" applyFill="1" applyBorder="1" applyProtection="1"/>
    <xf numFmtId="169" fontId="25" fillId="0" borderId="0" xfId="0" applyNumberFormat="1" applyFont="1" applyProtection="1"/>
    <xf numFmtId="169" fontId="23" fillId="0" borderId="0" xfId="0" applyNumberFormat="1" applyFont="1" applyFill="1" applyBorder="1" applyProtection="1"/>
    <xf numFmtId="169" fontId="23" fillId="0" borderId="0" xfId="0" applyNumberFormat="1" applyFont="1" applyBorder="1" applyProtection="1"/>
    <xf numFmtId="169" fontId="25" fillId="0" borderId="11" xfId="0" applyNumberFormat="1" applyFont="1" applyFill="1" applyBorder="1" applyProtection="1"/>
    <xf numFmtId="169" fontId="25" fillId="0" borderId="0" xfId="0" applyNumberFormat="1" applyFont="1" applyFill="1" applyBorder="1" applyProtection="1"/>
    <xf numFmtId="171" fontId="23" fillId="0" borderId="0" xfId="0" applyNumberFormat="1" applyFont="1" applyProtection="1"/>
    <xf numFmtId="171" fontId="23" fillId="0" borderId="0" xfId="0" applyNumberFormat="1" applyFont="1" applyFill="1" applyBorder="1" applyProtection="1"/>
    <xf numFmtId="169" fontId="23" fillId="0" borderId="17" xfId="0" applyNumberFormat="1" applyFont="1" applyFill="1" applyBorder="1" applyProtection="1"/>
    <xf numFmtId="169" fontId="23" fillId="0" borderId="18" xfId="0" applyNumberFormat="1" applyFont="1" applyFill="1" applyBorder="1" applyProtection="1"/>
    <xf numFmtId="169" fontId="23" fillId="0" borderId="19" xfId="0" applyNumberFormat="1" applyFont="1" applyFill="1" applyBorder="1" applyProtection="1"/>
    <xf numFmtId="169" fontId="25" fillId="0" borderId="15" xfId="28" applyNumberFormat="1" applyFont="1" applyFill="1" applyBorder="1" applyProtection="1"/>
    <xf numFmtId="169" fontId="25" fillId="0" borderId="0" xfId="28" applyNumberFormat="1" applyFont="1" applyFill="1" applyProtection="1"/>
    <xf numFmtId="169" fontId="27" fillId="0" borderId="20" xfId="0" applyNumberFormat="1" applyFont="1" applyFill="1" applyBorder="1" applyAlignment="1" applyProtection="1">
      <alignment horizontal="right" vertical="top" wrapText="1"/>
    </xf>
    <xf numFmtId="169" fontId="27" fillId="0" borderId="21" xfId="0" applyNumberFormat="1" applyFont="1" applyFill="1" applyBorder="1" applyAlignment="1" applyProtection="1">
      <alignment horizontal="right" vertical="top" wrapText="1"/>
    </xf>
    <xf numFmtId="169" fontId="27" fillId="0" borderId="0" xfId="0" applyNumberFormat="1" applyFont="1" applyFill="1" applyBorder="1" applyAlignment="1" applyProtection="1">
      <alignment horizontal="right" vertical="top" wrapText="1"/>
    </xf>
    <xf numFmtId="169" fontId="23" fillId="0" borderId="11" xfId="0" applyNumberFormat="1" applyFont="1" applyFill="1" applyBorder="1" applyProtection="1"/>
    <xf numFmtId="170" fontId="25" fillId="0" borderId="16" xfId="0" applyNumberFormat="1" applyFont="1" applyFill="1" applyBorder="1" applyProtection="1"/>
    <xf numFmtId="171" fontId="27" fillId="0" borderId="22" xfId="0" applyNumberFormat="1" applyFont="1" applyFill="1" applyBorder="1" applyAlignment="1" applyProtection="1">
      <alignment horizontal="right" vertical="top" wrapText="1"/>
    </xf>
    <xf numFmtId="167" fontId="35" fillId="0" borderId="0" xfId="28" applyNumberFormat="1" applyFont="1" applyProtection="1">
      <protection locked="0"/>
    </xf>
    <xf numFmtId="167" fontId="35" fillId="0" borderId="0" xfId="28" applyNumberFormat="1" applyFont="1" applyAlignment="1" applyProtection="1">
      <alignment horizontal="center"/>
      <protection locked="0"/>
    </xf>
    <xf numFmtId="167" fontId="35" fillId="0" borderId="0" xfId="28" applyNumberFormat="1" applyFont="1" applyAlignment="1" applyProtection="1">
      <alignment horizontal="right"/>
    </xf>
    <xf numFmtId="167" fontId="36" fillId="0" borderId="0" xfId="28" applyNumberFormat="1" applyFont="1" applyProtection="1">
      <protection locked="0"/>
    </xf>
    <xf numFmtId="37" fontId="37" fillId="26" borderId="0" xfId="0" applyNumberFormat="1" applyFont="1" applyFill="1" applyAlignment="1">
      <alignment vertical="center"/>
    </xf>
    <xf numFmtId="169" fontId="37" fillId="26" borderId="0" xfId="0" applyNumberFormat="1" applyFont="1" applyFill="1" applyAlignment="1">
      <alignment vertical="center"/>
    </xf>
    <xf numFmtId="37" fontId="36" fillId="0" borderId="0" xfId="0" applyNumberFormat="1" applyFont="1" applyAlignment="1">
      <alignment vertical="center"/>
    </xf>
    <xf numFmtId="166" fontId="23" fillId="0" borderId="0" xfId="0" applyNumberFormat="1" applyFont="1" applyFill="1" applyProtection="1">
      <protection locked="0"/>
    </xf>
    <xf numFmtId="167" fontId="38" fillId="24" borderId="0" xfId="28" applyNumberFormat="1" applyFont="1" applyFill="1" applyAlignment="1" applyProtection="1">
      <alignment horizontal="left"/>
      <protection locked="0"/>
    </xf>
    <xf numFmtId="10" fontId="34" fillId="0" borderId="16" xfId="0" applyNumberFormat="1" applyFont="1" applyFill="1" applyBorder="1" applyProtection="1">
      <protection locked="0"/>
    </xf>
    <xf numFmtId="169" fontId="34" fillId="0" borderId="0" xfId="0" applyNumberFormat="1" applyFont="1" applyFill="1" applyBorder="1" applyProtection="1">
      <protection locked="0"/>
    </xf>
    <xf numFmtId="40" fontId="23" fillId="0" borderId="0" xfId="0" applyNumberFormat="1" applyFont="1" applyFill="1"/>
    <xf numFmtId="40" fontId="34" fillId="0" borderId="0" xfId="0" applyNumberFormat="1" applyFont="1" applyFill="1"/>
    <xf numFmtId="169" fontId="23" fillId="0" borderId="0" xfId="0" applyNumberFormat="1" applyFont="1" applyAlignment="1">
      <alignment horizontal="right"/>
    </xf>
    <xf numFmtId="37" fontId="39" fillId="0" borderId="0" xfId="0" applyNumberFormat="1" applyFont="1" applyAlignment="1">
      <alignment horizontal="center"/>
    </xf>
    <xf numFmtId="167" fontId="40" fillId="0" borderId="0" xfId="28" applyNumberFormat="1" applyFont="1" applyAlignment="1" applyProtection="1">
      <alignment horizontal="center"/>
      <protection locked="0"/>
    </xf>
    <xf numFmtId="37" fontId="40" fillId="0" borderId="0" xfId="0" applyNumberFormat="1" applyFont="1" applyAlignment="1">
      <alignment horizontal="center" vertical="center"/>
    </xf>
    <xf numFmtId="0" fontId="40" fillId="0" borderId="0" xfId="0" applyFont="1" applyAlignment="1" applyProtection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</xf>
    <xf numFmtId="0" fontId="23" fillId="27" borderId="0" xfId="0" applyFont="1" applyFill="1"/>
    <xf numFmtId="169" fontId="23" fillId="27" borderId="0" xfId="0" applyNumberFormat="1" applyFont="1" applyFill="1"/>
    <xf numFmtId="0" fontId="25" fillId="27" borderId="0" xfId="0" applyFont="1" applyFill="1"/>
    <xf numFmtId="168" fontId="23" fillId="27" borderId="11" xfId="0" applyNumberFormat="1" applyFont="1" applyFill="1" applyBorder="1"/>
    <xf numFmtId="0" fontId="23" fillId="28" borderId="0" xfId="0" applyFont="1" applyFill="1"/>
    <xf numFmtId="169" fontId="23" fillId="28" borderId="0" xfId="0" applyNumberFormat="1" applyFont="1" applyFill="1"/>
    <xf numFmtId="169" fontId="34" fillId="28" borderId="0" xfId="0" applyNumberFormat="1" applyFont="1" applyFill="1" applyBorder="1"/>
    <xf numFmtId="0" fontId="23" fillId="29" borderId="0" xfId="0" applyFont="1" applyFill="1"/>
    <xf numFmtId="169" fontId="23" fillId="29" borderId="0" xfId="0" applyNumberFormat="1" applyFont="1" applyFill="1"/>
    <xf numFmtId="169" fontId="34" fillId="29" borderId="0" xfId="0" applyNumberFormat="1" applyFont="1" applyFill="1" applyBorder="1"/>
    <xf numFmtId="169" fontId="23" fillId="29" borderId="12" xfId="0" applyNumberFormat="1" applyFont="1" applyFill="1" applyBorder="1"/>
    <xf numFmtId="169" fontId="23" fillId="30" borderId="0" xfId="0" applyNumberFormat="1" applyFont="1" applyFill="1"/>
    <xf numFmtId="169" fontId="23" fillId="30" borderId="10" xfId="0" applyNumberFormat="1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1"/>
  <sheetViews>
    <sheetView showGridLines="0" tabSelected="1" zoomScale="120" zoomScaleNormal="120" workbookViewId="0">
      <pane ySplit="3" topLeftCell="A115" activePane="bottomLeft" state="frozen"/>
      <selection pane="bottomLeft" activeCell="A87" sqref="A87"/>
    </sheetView>
  </sheetViews>
  <sheetFormatPr baseColWidth="10" defaultColWidth="9.1640625" defaultRowHeight="14" outlineLevelRow="1"/>
  <cols>
    <col min="1" max="1" width="9.1640625" style="97"/>
    <col min="2" max="2" width="32.5" style="3" customWidth="1"/>
    <col min="3" max="9" width="13.1640625" style="3" customWidth="1"/>
    <col min="10" max="16384" width="9.1640625" style="3"/>
  </cols>
  <sheetData>
    <row r="1" spans="1:9" s="2" customFormat="1">
      <c r="A1" s="91"/>
      <c r="B1" s="8"/>
      <c r="C1" s="9" t="s">
        <v>38</v>
      </c>
      <c r="D1" s="5"/>
      <c r="E1" s="10" t="s">
        <v>37</v>
      </c>
      <c r="F1" s="1"/>
      <c r="G1" s="1"/>
      <c r="H1" s="1"/>
      <c r="I1" s="1"/>
    </row>
    <row r="2" spans="1:9" s="2" customFormat="1" ht="18">
      <c r="A2" s="91"/>
      <c r="B2" s="85" t="s">
        <v>62</v>
      </c>
      <c r="C2" s="18">
        <v>2017</v>
      </c>
      <c r="D2" s="18">
        <v>2018</v>
      </c>
      <c r="E2" s="19">
        <v>2019</v>
      </c>
      <c r="F2" s="19">
        <f>E2+1</f>
        <v>2020</v>
      </c>
      <c r="G2" s="19">
        <f>F2+1</f>
        <v>2021</v>
      </c>
      <c r="H2" s="19">
        <f>G2+1</f>
        <v>2022</v>
      </c>
      <c r="I2" s="19">
        <f>H2+1</f>
        <v>2023</v>
      </c>
    </row>
    <row r="3" spans="1:9" s="80" customFormat="1" ht="13">
      <c r="A3" s="92"/>
      <c r="B3" s="77" t="s">
        <v>32</v>
      </c>
      <c r="C3" s="79" t="str">
        <f>(IF(ABS(C68-C85)&gt;1,"ERROR","OK"))</f>
        <v>OK</v>
      </c>
      <c r="D3" s="79" t="str">
        <f t="shared" ref="D3:I3" si="0">(IF(ABS(D68-D85)&gt;1,"ERROR","OK"))</f>
        <v>OK</v>
      </c>
      <c r="E3" s="79" t="str">
        <f t="shared" si="0"/>
        <v>OK</v>
      </c>
      <c r="F3" s="79" t="str">
        <f t="shared" si="0"/>
        <v>OK</v>
      </c>
      <c r="G3" s="79" t="str">
        <f t="shared" si="0"/>
        <v>OK</v>
      </c>
      <c r="H3" s="79" t="str">
        <f t="shared" si="0"/>
        <v>OK</v>
      </c>
      <c r="I3" s="79" t="str">
        <f t="shared" si="0"/>
        <v>OK</v>
      </c>
    </row>
    <row r="4" spans="1:9" s="80" customFormat="1" ht="13">
      <c r="A4" s="92"/>
      <c r="B4" s="77"/>
      <c r="C4" s="77"/>
      <c r="D4" s="78"/>
      <c r="E4" s="79"/>
      <c r="F4" s="79"/>
      <c r="G4" s="79"/>
      <c r="H4" s="79"/>
      <c r="I4" s="79"/>
    </row>
    <row r="5" spans="1:9" s="83" customFormat="1" ht="18">
      <c r="A5" s="93"/>
      <c r="B5" s="6" t="s">
        <v>39</v>
      </c>
      <c r="C5" s="81"/>
      <c r="D5" s="81"/>
      <c r="E5" s="82"/>
      <c r="F5" s="82"/>
      <c r="G5" s="82"/>
      <c r="H5" s="82"/>
      <c r="I5" s="82"/>
    </row>
    <row r="6" spans="1:9" s="4" customFormat="1" ht="13" outlineLevel="1">
      <c r="A6" s="94"/>
      <c r="B6" s="43"/>
      <c r="E6" s="36"/>
      <c r="F6" s="36"/>
      <c r="G6" s="36"/>
      <c r="H6" s="36"/>
      <c r="I6" s="36"/>
    </row>
    <row r="7" spans="1:9" s="7" customFormat="1" ht="13" outlineLevel="1">
      <c r="A7" s="95"/>
      <c r="B7" s="14" t="s">
        <v>61</v>
      </c>
      <c r="C7" s="12"/>
      <c r="E7" s="37"/>
      <c r="F7" s="37"/>
      <c r="G7" s="37"/>
      <c r="H7" s="37"/>
      <c r="I7" s="37"/>
    </row>
    <row r="8" spans="1:9" s="7" customFormat="1" ht="13" outlineLevel="1">
      <c r="A8" s="95"/>
      <c r="B8" s="7" t="s">
        <v>60</v>
      </c>
      <c r="C8" s="17">
        <v>0.04</v>
      </c>
      <c r="D8" s="11">
        <f>('Financial Model'!D42-'Financial Model'!C42)/'Financial Model'!C42</f>
        <v>4.0234825968411485E-2</v>
      </c>
      <c r="E8" s="20">
        <v>0.04</v>
      </c>
      <c r="F8" s="20">
        <v>0.04</v>
      </c>
      <c r="G8" s="20">
        <v>0.04</v>
      </c>
      <c r="H8" s="20">
        <v>0.04</v>
      </c>
      <c r="I8" s="20">
        <v>0.04</v>
      </c>
    </row>
    <row r="9" spans="1:9" s="7" customFormat="1" ht="13" outlineLevel="1">
      <c r="A9" s="95"/>
      <c r="B9" s="7" t="s">
        <v>59</v>
      </c>
      <c r="C9" s="11">
        <f>'Financial Model'!C44/'Financial Model'!C42</f>
        <v>0.53180958463314587</v>
      </c>
      <c r="D9" s="11">
        <f>'Financial Model'!D44/'Financial Model'!D42</f>
        <v>0.55422796287987908</v>
      </c>
      <c r="E9" s="20">
        <v>0.55000000000000004</v>
      </c>
      <c r="F9" s="20">
        <v>0.55000000000000004</v>
      </c>
      <c r="G9" s="20">
        <v>0.55000000000000004</v>
      </c>
      <c r="H9" s="20">
        <v>0.55000000000000004</v>
      </c>
      <c r="I9" s="20">
        <v>0.55000000000000004</v>
      </c>
    </row>
    <row r="10" spans="1:9" s="7" customFormat="1" ht="13" outlineLevel="1">
      <c r="A10" s="95"/>
      <c r="B10" s="7" t="s">
        <v>58</v>
      </c>
      <c r="C10" s="11">
        <f>-'Financial Model'!C45/'Financial Model'!C$42</f>
        <v>7.2265481073911231E-2</v>
      </c>
      <c r="D10" s="11">
        <f>-'Financial Model'!D45/'Financial Model'!D$42</f>
        <v>7.5810526812911755E-2</v>
      </c>
      <c r="E10" s="20">
        <v>7.0000000000000007E-2</v>
      </c>
      <c r="F10" s="20">
        <v>7.4999999999999997E-2</v>
      </c>
      <c r="G10" s="20">
        <v>7.4999999999999997E-2</v>
      </c>
      <c r="H10" s="20">
        <v>7.4999999999999997E-2</v>
      </c>
      <c r="I10" s="20">
        <v>7.4999999999999997E-2</v>
      </c>
    </row>
    <row r="11" spans="1:9" s="7" customFormat="1" ht="13" outlineLevel="1">
      <c r="A11" s="95"/>
      <c r="B11" s="7" t="s">
        <v>57</v>
      </c>
      <c r="C11" s="11">
        <f>-'Financial Model'!C46/'Financial Model'!C$42</f>
        <v>0.28870575520129693</v>
      </c>
      <c r="D11" s="11">
        <f>-'Financial Model'!D46/'Financial Model'!D$42</f>
        <v>0.31369099624548397</v>
      </c>
      <c r="E11" s="20">
        <v>0.35</v>
      </c>
      <c r="F11" s="20">
        <v>0.35</v>
      </c>
      <c r="G11" s="20">
        <v>0.35</v>
      </c>
      <c r="H11" s="20">
        <v>0.35</v>
      </c>
      <c r="I11" s="20">
        <v>0.35</v>
      </c>
    </row>
    <row r="12" spans="1:9" s="7" customFormat="1" ht="13" outlineLevel="1">
      <c r="A12" s="95"/>
      <c r="B12" s="7" t="s">
        <v>56</v>
      </c>
      <c r="C12" s="16">
        <f>-'Financial Model'!C47/'Financial Model'!C$42</f>
        <v>2.1664906290683107E-2</v>
      </c>
      <c r="D12" s="16">
        <f>-'Financial Model'!D47/'Financial Model'!D$42</f>
        <v>2.279864931875605E-2</v>
      </c>
      <c r="E12" s="20">
        <v>2.3E-2</v>
      </c>
      <c r="F12" s="20">
        <v>2.3E-2</v>
      </c>
      <c r="G12" s="20">
        <v>2.3E-2</v>
      </c>
      <c r="H12" s="20">
        <v>2.3E-2</v>
      </c>
      <c r="I12" s="20">
        <v>2.3E-2</v>
      </c>
    </row>
    <row r="13" spans="1:9" s="7" customFormat="1" ht="13" outlineLevel="1">
      <c r="A13" s="95"/>
      <c r="B13" s="7" t="s">
        <v>55</v>
      </c>
      <c r="C13" s="16">
        <f>-'Financial Model'!C48/'Financial Model'!C$42</f>
        <v>3.6353811009309525E-2</v>
      </c>
      <c r="D13" s="16">
        <f>-'Financial Model'!D48/'Financial Model'!D$42</f>
        <v>3.3094051807598765E-2</v>
      </c>
      <c r="E13" s="20">
        <v>3.3000000000000002E-2</v>
      </c>
      <c r="F13" s="20">
        <v>3.3000000000000002E-2</v>
      </c>
      <c r="G13" s="20">
        <v>3.3000000000000002E-2</v>
      </c>
      <c r="H13" s="20">
        <v>3.3000000000000002E-2</v>
      </c>
      <c r="I13" s="20">
        <v>3.3000000000000002E-2</v>
      </c>
    </row>
    <row r="14" spans="1:9" s="7" customFormat="1" ht="13" outlineLevel="1">
      <c r="A14" s="95"/>
      <c r="B14" s="7" t="s">
        <v>54</v>
      </c>
      <c r="C14" s="15">
        <f t="shared" ref="C14:I14" si="1">C9-SUM(C10:C13)</f>
        <v>0.11281963105794507</v>
      </c>
      <c r="D14" s="15">
        <f t="shared" si="1"/>
        <v>0.10883373869512858</v>
      </c>
      <c r="E14" s="40">
        <f t="shared" si="1"/>
        <v>7.4000000000000066E-2</v>
      </c>
      <c r="F14" s="40">
        <f t="shared" si="1"/>
        <v>6.9000000000000061E-2</v>
      </c>
      <c r="G14" s="40">
        <f t="shared" si="1"/>
        <v>6.9000000000000061E-2</v>
      </c>
      <c r="H14" s="40">
        <f t="shared" si="1"/>
        <v>6.9000000000000061E-2</v>
      </c>
      <c r="I14" s="40">
        <f t="shared" si="1"/>
        <v>6.9000000000000061E-2</v>
      </c>
    </row>
    <row r="15" spans="1:9" s="7" customFormat="1" ht="13" outlineLevel="1">
      <c r="A15" s="95"/>
      <c r="C15" s="12"/>
      <c r="D15" s="12"/>
      <c r="E15" s="37"/>
      <c r="F15" s="37"/>
      <c r="G15" s="37"/>
      <c r="H15" s="37"/>
      <c r="I15" s="37"/>
    </row>
    <row r="16" spans="1:9" s="7" customFormat="1" ht="13" outlineLevel="1">
      <c r="A16" s="95"/>
      <c r="B16" s="7" t="s">
        <v>53</v>
      </c>
      <c r="C16" s="11">
        <v>0.06</v>
      </c>
      <c r="D16" s="11">
        <f>-'Financial Model'!D50/'Financial Model'!C79</f>
        <v>6.1553929509020833E-2</v>
      </c>
      <c r="E16" s="20">
        <v>6.2E-2</v>
      </c>
      <c r="F16" s="20">
        <v>6.2E-2</v>
      </c>
      <c r="G16" s="20">
        <v>6.2E-2</v>
      </c>
      <c r="H16" s="20">
        <v>6.2E-2</v>
      </c>
      <c r="I16" s="20">
        <v>6.2E-2</v>
      </c>
    </row>
    <row r="17" spans="1:9" s="7" customFormat="1" ht="13" outlineLevel="1">
      <c r="A17" s="95"/>
      <c r="B17" s="7" t="s">
        <v>52</v>
      </c>
      <c r="C17" s="11"/>
      <c r="D17" s="11"/>
      <c r="E17" s="20">
        <v>7.1999999999999995E-2</v>
      </c>
      <c r="F17" s="20">
        <v>7.1999999999999995E-2</v>
      </c>
      <c r="G17" s="20">
        <v>7.1999999999999995E-2</v>
      </c>
      <c r="H17" s="20">
        <v>7.1999999999999995E-2</v>
      </c>
      <c r="I17" s="20">
        <v>7.1999999999999995E-2</v>
      </c>
    </row>
    <row r="18" spans="1:9" s="7" customFormat="1" ht="13" outlineLevel="1">
      <c r="A18" s="95"/>
      <c r="B18" s="7" t="s">
        <v>51</v>
      </c>
      <c r="C18" s="12"/>
      <c r="D18" s="12"/>
      <c r="E18" s="24">
        <v>80</v>
      </c>
      <c r="F18" s="24">
        <v>80</v>
      </c>
      <c r="G18" s="24">
        <v>80</v>
      </c>
      <c r="H18" s="24">
        <v>80</v>
      </c>
      <c r="I18" s="24">
        <v>80</v>
      </c>
    </row>
    <row r="19" spans="1:9" s="7" customFormat="1" ht="13" outlineLevel="1">
      <c r="A19" s="95"/>
      <c r="C19" s="12"/>
      <c r="D19" s="12"/>
      <c r="E19" s="30"/>
      <c r="F19" s="37"/>
      <c r="G19" s="37"/>
      <c r="H19" s="37"/>
      <c r="I19" s="37"/>
    </row>
    <row r="20" spans="1:9" s="7" customFormat="1" ht="13" outlineLevel="1">
      <c r="A20" s="95"/>
      <c r="B20" s="7" t="s">
        <v>50</v>
      </c>
      <c r="C20" s="11">
        <f>-'Financial Model'!C52/'Financial Model'!C51</f>
        <v>0.34031800813509183</v>
      </c>
      <c r="D20" s="11">
        <f>-'Financial Model'!D52/'Financial Model'!D51</f>
        <v>0.29928536224741253</v>
      </c>
      <c r="E20" s="20">
        <v>0.3</v>
      </c>
      <c r="F20" s="20">
        <v>0.3</v>
      </c>
      <c r="G20" s="20">
        <v>0.3</v>
      </c>
      <c r="H20" s="20">
        <v>0.3</v>
      </c>
      <c r="I20" s="20">
        <v>0.3</v>
      </c>
    </row>
    <row r="21" spans="1:9" s="7" customFormat="1" ht="13" outlineLevel="1">
      <c r="A21" s="95"/>
      <c r="C21" s="12"/>
      <c r="D21" s="12"/>
      <c r="E21" s="37"/>
      <c r="F21" s="37"/>
      <c r="G21" s="37"/>
      <c r="H21" s="37"/>
      <c r="I21" s="37"/>
    </row>
    <row r="22" spans="1:9" s="7" customFormat="1" ht="13" outlineLevel="1">
      <c r="A22" s="95"/>
      <c r="B22" s="14" t="s">
        <v>49</v>
      </c>
      <c r="C22" s="12"/>
      <c r="D22" s="12"/>
      <c r="E22" s="37"/>
      <c r="F22" s="37"/>
      <c r="G22" s="37"/>
      <c r="H22" s="37"/>
      <c r="I22" s="37"/>
    </row>
    <row r="23" spans="1:9" s="7" customFormat="1" ht="13" outlineLevel="1">
      <c r="A23" s="95"/>
      <c r="B23" s="7" t="s">
        <v>129</v>
      </c>
      <c r="C23" s="88">
        <f>C42/C106</f>
        <v>4.1620405868220622</v>
      </c>
      <c r="D23" s="88">
        <f>D42/D106</f>
        <v>4.1577733051887487</v>
      </c>
      <c r="E23" s="89">
        <v>4.16</v>
      </c>
      <c r="F23" s="89">
        <v>4.16</v>
      </c>
      <c r="G23" s="89">
        <v>4.16</v>
      </c>
      <c r="H23" s="89">
        <v>4.16</v>
      </c>
      <c r="I23" s="89">
        <v>4.16</v>
      </c>
    </row>
    <row r="24" spans="1:9" s="7" customFormat="1" ht="13" outlineLevel="1">
      <c r="A24" s="95"/>
      <c r="B24" s="7" t="s">
        <v>48</v>
      </c>
      <c r="C24" s="11">
        <f>-'Financial Model'!C97/'Financial Model'!C95</f>
        <v>7.4976143954196398E-2</v>
      </c>
      <c r="D24" s="11">
        <f>-'Financial Model'!D97/'Financial Model'!D95</f>
        <v>4.6275471955292032E-2</v>
      </c>
      <c r="E24" s="20">
        <v>0.05</v>
      </c>
      <c r="F24" s="20">
        <v>0.05</v>
      </c>
      <c r="G24" s="20">
        <v>0.05</v>
      </c>
      <c r="H24" s="20">
        <v>0.05</v>
      </c>
      <c r="I24" s="20">
        <v>0.05</v>
      </c>
    </row>
    <row r="25" spans="1:9" s="7" customFormat="1" ht="13" outlineLevel="1">
      <c r="A25" s="95"/>
      <c r="B25" s="7" t="s">
        <v>47</v>
      </c>
      <c r="C25" s="12"/>
      <c r="D25" s="12"/>
      <c r="E25" s="37"/>
      <c r="F25" s="37"/>
      <c r="G25" s="37"/>
      <c r="H25" s="37"/>
      <c r="I25" s="37"/>
    </row>
    <row r="26" spans="1:9" s="7" customFormat="1" ht="13" outlineLevel="1">
      <c r="A26" s="95"/>
      <c r="C26" s="12"/>
      <c r="D26" s="12"/>
      <c r="E26" s="37"/>
      <c r="F26" s="37"/>
      <c r="G26" s="37"/>
      <c r="H26" s="37"/>
      <c r="I26" s="37"/>
    </row>
    <row r="27" spans="1:9" s="7" customFormat="1" ht="13" outlineLevel="1">
      <c r="A27" s="95"/>
      <c r="B27" s="7" t="s">
        <v>46</v>
      </c>
      <c r="C27" s="13">
        <f>'Financial Model'!C61/'Financial Model'!C42*365</f>
        <v>56.864545208911593</v>
      </c>
      <c r="D27" s="13">
        <f>'Financial Model'!D61/'Financial Model'!D42*365</f>
        <v>60.650900847717772</v>
      </c>
      <c r="E27" s="24">
        <v>61</v>
      </c>
      <c r="F27" s="24">
        <v>61</v>
      </c>
      <c r="G27" s="24">
        <v>61</v>
      </c>
      <c r="H27" s="24">
        <v>61</v>
      </c>
      <c r="I27" s="24">
        <v>61</v>
      </c>
    </row>
    <row r="28" spans="1:9" s="7" customFormat="1" ht="13" outlineLevel="1">
      <c r="A28" s="95"/>
      <c r="B28" s="7" t="s">
        <v>45</v>
      </c>
      <c r="C28" s="13">
        <f>-'Financial Model'!C62/'Financial Model'!C43*365</f>
        <v>68.631987618373074</v>
      </c>
      <c r="D28" s="13">
        <f>-'Financial Model'!D62/'Financial Model'!D43*365</f>
        <v>74.351493802309562</v>
      </c>
      <c r="E28" s="24">
        <v>74</v>
      </c>
      <c r="F28" s="24">
        <v>74</v>
      </c>
      <c r="G28" s="24">
        <v>74</v>
      </c>
      <c r="H28" s="24">
        <v>74</v>
      </c>
      <c r="I28" s="24">
        <v>74</v>
      </c>
    </row>
    <row r="29" spans="1:9" s="7" customFormat="1" ht="13" outlineLevel="1">
      <c r="A29" s="95"/>
      <c r="B29" s="7" t="s">
        <v>44</v>
      </c>
      <c r="C29" s="13">
        <f>-'Financial Model'!C72/'Financial Model'!C43*365</f>
        <v>95.757325358726149</v>
      </c>
      <c r="D29" s="13">
        <f>-'Financial Model'!D72/'Financial Model'!D43*365</f>
        <v>101.54571458840979</v>
      </c>
      <c r="E29" s="24">
        <v>102</v>
      </c>
      <c r="F29" s="24">
        <v>102</v>
      </c>
      <c r="G29" s="24">
        <v>102</v>
      </c>
      <c r="H29" s="24">
        <v>102</v>
      </c>
      <c r="I29" s="24">
        <v>102</v>
      </c>
    </row>
    <row r="30" spans="1:9" s="7" customFormat="1" ht="13" outlineLevel="1">
      <c r="A30" s="95"/>
      <c r="C30" s="13"/>
      <c r="D30" s="13"/>
      <c r="E30" s="30"/>
      <c r="F30" s="30"/>
      <c r="G30" s="30"/>
      <c r="H30" s="30"/>
      <c r="I30" s="30"/>
    </row>
    <row r="31" spans="1:9" s="7" customFormat="1" ht="13" outlineLevel="1">
      <c r="A31" s="95"/>
      <c r="B31" s="7" t="s">
        <v>43</v>
      </c>
      <c r="C31" s="11">
        <f>-'Financial Model'!C73/'Financial Model'!C52</f>
        <v>0.39406012314378847</v>
      </c>
      <c r="D31" s="11">
        <f>-'Financial Model'!D73/'Financial Model'!D52</f>
        <v>0.36805269658295597</v>
      </c>
      <c r="E31" s="20">
        <v>0.37</v>
      </c>
      <c r="F31" s="20">
        <v>0.37</v>
      </c>
      <c r="G31" s="20">
        <v>0.37</v>
      </c>
      <c r="H31" s="20">
        <v>0.37</v>
      </c>
      <c r="I31" s="20">
        <v>0.37</v>
      </c>
    </row>
    <row r="32" spans="1:9" s="7" customFormat="1" ht="13" outlineLevel="1">
      <c r="A32" s="95"/>
      <c r="C32" s="13"/>
      <c r="D32" s="13"/>
      <c r="E32" s="37"/>
      <c r="F32" s="37"/>
      <c r="G32" s="37"/>
      <c r="H32" s="37"/>
      <c r="I32" s="37"/>
    </row>
    <row r="33" spans="1:9" s="7" customFormat="1" ht="13" outlineLevel="1">
      <c r="A33" s="95"/>
      <c r="B33" s="7" t="s">
        <v>42</v>
      </c>
      <c r="C33" s="13">
        <f>'Financial Model'!C79</f>
        <v>17903</v>
      </c>
      <c r="D33" s="13">
        <f>'Financial Model'!D79</f>
        <v>19427</v>
      </c>
      <c r="E33" s="24">
        <v>20000</v>
      </c>
      <c r="F33" s="24">
        <v>20000</v>
      </c>
      <c r="G33" s="24">
        <v>20000</v>
      </c>
      <c r="H33" s="24">
        <v>20000</v>
      </c>
      <c r="I33" s="24">
        <v>20000</v>
      </c>
    </row>
    <row r="34" spans="1:9" s="12" customFormat="1" ht="13" outlineLevel="1">
      <c r="A34" s="96"/>
      <c r="C34" s="13"/>
      <c r="D34" s="13"/>
      <c r="E34" s="30"/>
      <c r="F34" s="30"/>
      <c r="G34" s="30"/>
      <c r="H34" s="30"/>
      <c r="I34" s="30"/>
    </row>
    <row r="35" spans="1:9" s="7" customFormat="1" ht="13" outlineLevel="1">
      <c r="A35" s="95"/>
      <c r="B35" s="7" t="s">
        <v>41</v>
      </c>
      <c r="C35" s="13">
        <f>'Financial Model'!C82</f>
        <v>5524</v>
      </c>
      <c r="D35" s="13">
        <f>'Financial Model'!D82</f>
        <v>5762</v>
      </c>
      <c r="E35" s="24">
        <v>5762</v>
      </c>
      <c r="F35" s="24">
        <v>5762</v>
      </c>
      <c r="G35" s="24">
        <v>5762</v>
      </c>
      <c r="H35" s="24">
        <v>5762</v>
      </c>
      <c r="I35" s="24">
        <v>5762</v>
      </c>
    </row>
    <row r="36" spans="1:9" s="7" customFormat="1" ht="13" outlineLevel="1">
      <c r="A36" s="95"/>
      <c r="C36" s="12"/>
      <c r="D36" s="12"/>
      <c r="E36" s="37"/>
      <c r="F36" s="37"/>
      <c r="G36" s="37"/>
      <c r="H36" s="37"/>
      <c r="I36" s="37"/>
    </row>
    <row r="37" spans="1:9" s="7" customFormat="1" ht="13" outlineLevel="1">
      <c r="A37" s="95"/>
      <c r="B37" s="7" t="s">
        <v>40</v>
      </c>
      <c r="C37" s="11">
        <f>-'Financial Model'!C112/'Financial Model'!C53</f>
        <v>0.8056801195814649</v>
      </c>
      <c r="D37" s="11">
        <f>-'Financial Model'!D112/'Financial Model'!D53</f>
        <v>0.74010902057323724</v>
      </c>
      <c r="E37" s="20">
        <f>80%</f>
        <v>0.8</v>
      </c>
      <c r="F37" s="20">
        <f>80%</f>
        <v>0.8</v>
      </c>
      <c r="G37" s="20">
        <f>80%</f>
        <v>0.8</v>
      </c>
      <c r="H37" s="20">
        <f>80%</f>
        <v>0.8</v>
      </c>
      <c r="I37" s="20">
        <f>80%</f>
        <v>0.8</v>
      </c>
    </row>
    <row r="38" spans="1:9" s="4" customFormat="1" ht="13" outlineLevel="1">
      <c r="A38" s="94"/>
      <c r="C38" s="84"/>
      <c r="D38" s="84"/>
      <c r="E38" s="55"/>
      <c r="F38" s="55"/>
      <c r="G38" s="55"/>
      <c r="H38" s="55"/>
      <c r="I38" s="55"/>
    </row>
    <row r="39" spans="1:9" s="4" customFormat="1" ht="13">
      <c r="A39" s="94"/>
      <c r="E39" s="36"/>
      <c r="F39" s="36"/>
      <c r="G39" s="36"/>
      <c r="H39" s="36"/>
      <c r="I39" s="36"/>
    </row>
    <row r="40" spans="1:9" s="83" customFormat="1" ht="18">
      <c r="A40" s="93"/>
      <c r="B40" s="6" t="s">
        <v>34</v>
      </c>
      <c r="C40" s="81"/>
      <c r="D40" s="81"/>
      <c r="E40" s="82"/>
      <c r="F40" s="82"/>
      <c r="G40" s="82"/>
      <c r="H40" s="82"/>
      <c r="I40" s="82"/>
    </row>
    <row r="41" spans="1:9" s="4" customFormat="1" ht="13" outlineLevel="1">
      <c r="A41" s="94"/>
      <c r="B41" s="43"/>
      <c r="E41" s="36"/>
      <c r="F41" s="36"/>
      <c r="G41" s="36"/>
      <c r="H41" s="36"/>
      <c r="I41" s="36"/>
    </row>
    <row r="42" spans="1:9" s="7" customFormat="1" ht="13" outlineLevel="1">
      <c r="A42" s="95"/>
      <c r="B42" s="14" t="s">
        <v>28</v>
      </c>
      <c r="C42" s="24">
        <v>81422</v>
      </c>
      <c r="D42" s="24">
        <v>84698</v>
      </c>
      <c r="E42" s="37">
        <f>D42*(1+E8)</f>
        <v>88085.92</v>
      </c>
      <c r="F42" s="37">
        <f>E42*(1+F8)</f>
        <v>91609.356799999994</v>
      </c>
      <c r="G42" s="37">
        <f>F42*(1+G8)</f>
        <v>95273.731071999995</v>
      </c>
      <c r="H42" s="37">
        <f>G42*(1+H8)</f>
        <v>99084.680314879995</v>
      </c>
      <c r="I42" s="37">
        <f>H42*(1+I8)</f>
        <v>103048.0675274752</v>
      </c>
    </row>
    <row r="43" spans="1:9" s="7" customFormat="1" ht="13" outlineLevel="1">
      <c r="A43" s="95"/>
      <c r="B43" s="7" t="s">
        <v>29</v>
      </c>
      <c r="C43" s="25">
        <v>-38121</v>
      </c>
      <c r="D43" s="25">
        <v>-37756</v>
      </c>
      <c r="E43" s="39">
        <f>-E42*(1-E9)</f>
        <v>-39638.663999999997</v>
      </c>
      <c r="F43" s="39">
        <f>-F42*(1-F9)</f>
        <v>-41224.210559999992</v>
      </c>
      <c r="G43" s="39">
        <f>-G42*(1-G9)</f>
        <v>-42873.178982399993</v>
      </c>
      <c r="H43" s="39">
        <f>-H42*(1-H9)</f>
        <v>-44588.106141695993</v>
      </c>
      <c r="I43" s="39">
        <f>-I42*(1-I9)</f>
        <v>-46371.630387363832</v>
      </c>
    </row>
    <row r="44" spans="1:9" s="4" customFormat="1" ht="13" outlineLevel="1">
      <c r="A44" s="94"/>
      <c r="B44" s="14" t="s">
        <v>30</v>
      </c>
      <c r="C44" s="22">
        <f>C42+C43</f>
        <v>43301</v>
      </c>
      <c r="D44" s="22">
        <f>D42+D43</f>
        <v>46942</v>
      </c>
      <c r="E44" s="22">
        <f>SUM(E42:E43)</f>
        <v>48447.256000000001</v>
      </c>
      <c r="F44" s="22">
        <f>SUM(F42:F43)</f>
        <v>50385.146240000002</v>
      </c>
      <c r="G44" s="22">
        <f>SUM(G42:G43)</f>
        <v>52400.552089600002</v>
      </c>
      <c r="H44" s="22">
        <f>SUM(H42:H43)</f>
        <v>54496.574173184003</v>
      </c>
      <c r="I44" s="22">
        <f>SUM(I42:I43)</f>
        <v>56676.437140111368</v>
      </c>
    </row>
    <row r="45" spans="1:9" s="4" customFormat="1" ht="13" outlineLevel="1">
      <c r="A45" s="94"/>
      <c r="B45" s="7" t="s">
        <v>65</v>
      </c>
      <c r="C45" s="26">
        <v>-5884</v>
      </c>
      <c r="D45" s="26">
        <v>-6421</v>
      </c>
      <c r="E45" s="30">
        <f>-E$42*E10</f>
        <v>-6166.0144</v>
      </c>
      <c r="F45" s="30">
        <f>-F$42*F10</f>
        <v>-6870.701759999999</v>
      </c>
      <c r="G45" s="30">
        <f>-G$42*G10</f>
        <v>-7145.5298303999998</v>
      </c>
      <c r="H45" s="30">
        <f>-H$42*H10</f>
        <v>-7431.3510236159991</v>
      </c>
      <c r="I45" s="30">
        <f>-I$42*I10</f>
        <v>-7728.6050645606392</v>
      </c>
    </row>
    <row r="46" spans="1:9" s="4" customFormat="1" ht="13" outlineLevel="1">
      <c r="A46" s="94"/>
      <c r="B46" s="7" t="s">
        <v>64</v>
      </c>
      <c r="C46" s="26">
        <f>-23507</f>
        <v>-23507</v>
      </c>
      <c r="D46" s="26">
        <f>-26569</f>
        <v>-26569</v>
      </c>
      <c r="E46" s="30">
        <f t="shared" ref="E46:I48" si="2">-E$42*E11</f>
        <v>-30830.071999999996</v>
      </c>
      <c r="F46" s="30">
        <f t="shared" si="2"/>
        <v>-32063.274879999997</v>
      </c>
      <c r="G46" s="30">
        <f t="shared" si="2"/>
        <v>-33345.8058752</v>
      </c>
      <c r="H46" s="30">
        <f t="shared" si="2"/>
        <v>-34679.638110207998</v>
      </c>
      <c r="I46" s="30">
        <f t="shared" si="2"/>
        <v>-36066.823634616318</v>
      </c>
    </row>
    <row r="47" spans="1:9" s="4" customFormat="1" ht="13" outlineLevel="1">
      <c r="A47" s="94"/>
      <c r="B47" s="7" t="s">
        <v>63</v>
      </c>
      <c r="C47" s="26">
        <v>-1764</v>
      </c>
      <c r="D47" s="26">
        <v>-1931</v>
      </c>
      <c r="E47" s="30">
        <f t="shared" si="2"/>
        <v>-2025.9761599999999</v>
      </c>
      <c r="F47" s="30">
        <f t="shared" si="2"/>
        <v>-2107.0152063999999</v>
      </c>
      <c r="G47" s="30">
        <f t="shared" si="2"/>
        <v>-2191.2958146559999</v>
      </c>
      <c r="H47" s="30">
        <f t="shared" si="2"/>
        <v>-2278.9476472422398</v>
      </c>
      <c r="I47" s="30">
        <f t="shared" si="2"/>
        <v>-2370.1055531319294</v>
      </c>
    </row>
    <row r="48" spans="1:9" s="4" customFormat="1" ht="13" outlineLevel="1">
      <c r="A48" s="94"/>
      <c r="B48" s="98" t="s">
        <v>19</v>
      </c>
      <c r="C48" s="26">
        <v>-2960</v>
      </c>
      <c r="D48" s="26">
        <v>-2803</v>
      </c>
      <c r="E48" s="99">
        <f t="shared" si="2"/>
        <v>-2906.83536</v>
      </c>
      <c r="F48" s="30">
        <f t="shared" si="2"/>
        <v>-3023.1087744000001</v>
      </c>
      <c r="G48" s="30">
        <f t="shared" si="2"/>
        <v>-3144.033125376</v>
      </c>
      <c r="H48" s="30">
        <f t="shared" si="2"/>
        <v>-3269.7944503910398</v>
      </c>
      <c r="I48" s="30">
        <f t="shared" si="2"/>
        <v>-3400.5862284066816</v>
      </c>
    </row>
    <row r="49" spans="1:9" s="4" customFormat="1" ht="13" outlineLevel="1">
      <c r="A49" s="94"/>
      <c r="B49" s="14" t="s">
        <v>31</v>
      </c>
      <c r="C49" s="27">
        <f t="shared" ref="C49:I49" si="3">SUM(C44:C48)</f>
        <v>9186</v>
      </c>
      <c r="D49" s="27">
        <f t="shared" si="3"/>
        <v>9218</v>
      </c>
      <c r="E49" s="27">
        <f t="shared" si="3"/>
        <v>6518.3580800000045</v>
      </c>
      <c r="F49" s="27">
        <f t="shared" si="3"/>
        <v>6321.0456192000092</v>
      </c>
      <c r="G49" s="27">
        <f t="shared" si="3"/>
        <v>6573.8874439680003</v>
      </c>
      <c r="H49" s="27">
        <f t="shared" si="3"/>
        <v>6836.8429417267253</v>
      </c>
      <c r="I49" s="27">
        <f t="shared" si="3"/>
        <v>7110.3166593958022</v>
      </c>
    </row>
    <row r="50" spans="1:9" s="4" customFormat="1" ht="13" outlineLevel="1">
      <c r="A50" s="94"/>
      <c r="B50" s="7" t="s">
        <v>2</v>
      </c>
      <c r="C50" s="26">
        <v>-1073</v>
      </c>
      <c r="D50" s="26">
        <v>-1102</v>
      </c>
      <c r="E50" s="34">
        <f>-(E16*D79)-(E17*D75)-E18</f>
        <v>-1284.4739999999999</v>
      </c>
      <c r="F50" s="34">
        <f t="shared" ref="F50:I50" si="4">-(F16*E79)-(F17*E75)-F18</f>
        <v>-1320</v>
      </c>
      <c r="G50" s="34">
        <f t="shared" si="4"/>
        <v>-1320</v>
      </c>
      <c r="H50" s="34">
        <f t="shared" si="4"/>
        <v>-1320</v>
      </c>
      <c r="I50" s="34">
        <f t="shared" si="4"/>
        <v>-1320</v>
      </c>
    </row>
    <row r="51" spans="1:9" s="4" customFormat="1" ht="13" outlineLevel="1">
      <c r="A51" s="94"/>
      <c r="B51" s="7" t="s">
        <v>0</v>
      </c>
      <c r="C51" s="27">
        <f>C49+C50</f>
        <v>8113</v>
      </c>
      <c r="D51" s="27">
        <f>D49+D50</f>
        <v>8116</v>
      </c>
      <c r="E51" s="27">
        <f t="shared" ref="E51:I51" si="5">E49+E50</f>
        <v>5233.8840800000044</v>
      </c>
      <c r="F51" s="27">
        <f t="shared" si="5"/>
        <v>5001.0456192000092</v>
      </c>
      <c r="G51" s="27">
        <f t="shared" si="5"/>
        <v>5253.8874439680003</v>
      </c>
      <c r="H51" s="27">
        <f t="shared" si="5"/>
        <v>5516.8429417267253</v>
      </c>
      <c r="I51" s="27">
        <f t="shared" si="5"/>
        <v>5790.3166593958022</v>
      </c>
    </row>
    <row r="52" spans="1:9" s="4" customFormat="1" ht="13" outlineLevel="1">
      <c r="A52" s="94"/>
      <c r="B52" s="7" t="s">
        <v>1</v>
      </c>
      <c r="C52" s="26">
        <v>-2761</v>
      </c>
      <c r="D52" s="26">
        <v>-2429</v>
      </c>
      <c r="E52" s="34">
        <f>-E51*E20</f>
        <v>-1570.1652240000012</v>
      </c>
      <c r="F52" s="34">
        <f t="shared" ref="F52:I52" si="6">-F51*F20</f>
        <v>-1500.3136857600027</v>
      </c>
      <c r="G52" s="34">
        <f t="shared" si="6"/>
        <v>-1576.1662331904001</v>
      </c>
      <c r="H52" s="34">
        <f t="shared" si="6"/>
        <v>-1655.0528825180174</v>
      </c>
      <c r="I52" s="34">
        <f t="shared" si="6"/>
        <v>-1737.0949978187407</v>
      </c>
    </row>
    <row r="53" spans="1:9" s="4" customFormat="1" outlineLevel="1" thickBot="1">
      <c r="A53" s="94"/>
      <c r="B53" s="100" t="s">
        <v>18</v>
      </c>
      <c r="C53" s="21">
        <f>C51+C52</f>
        <v>5352</v>
      </c>
      <c r="D53" s="21">
        <f>D51+D52</f>
        <v>5687</v>
      </c>
      <c r="E53" s="101">
        <f t="shared" ref="E53:I53" si="7">E51+E52</f>
        <v>3663.7188560000031</v>
      </c>
      <c r="F53" s="21">
        <f t="shared" si="7"/>
        <v>3500.7319334400063</v>
      </c>
      <c r="G53" s="21">
        <f t="shared" si="7"/>
        <v>3677.7212107776004</v>
      </c>
      <c r="H53" s="21">
        <f t="shared" si="7"/>
        <v>3861.790059208708</v>
      </c>
      <c r="I53" s="21">
        <f t="shared" si="7"/>
        <v>4053.2216615770612</v>
      </c>
    </row>
    <row r="54" spans="1:9" s="4" customFormat="1" outlineLevel="1" thickTop="1">
      <c r="A54" s="94"/>
      <c r="B54" s="7"/>
      <c r="C54" s="7"/>
      <c r="D54" s="7"/>
      <c r="E54" s="37"/>
      <c r="F54" s="37"/>
      <c r="G54" s="37"/>
      <c r="H54" s="37"/>
      <c r="I54" s="37"/>
    </row>
    <row r="55" spans="1:9" s="4" customFormat="1" ht="13">
      <c r="A55" s="94"/>
      <c r="E55" s="36"/>
      <c r="F55" s="36"/>
      <c r="G55" s="36"/>
      <c r="H55" s="36"/>
      <c r="I55" s="36"/>
    </row>
    <row r="56" spans="1:9" s="83" customFormat="1" ht="18">
      <c r="A56" s="93"/>
      <c r="B56" s="6" t="s">
        <v>33</v>
      </c>
      <c r="C56" s="81"/>
      <c r="D56" s="81"/>
      <c r="E56" s="82"/>
      <c r="F56" s="82"/>
      <c r="G56" s="82"/>
      <c r="H56" s="82"/>
      <c r="I56" s="82"/>
    </row>
    <row r="57" spans="1:9" s="4" customFormat="1" ht="13" outlineLevel="1">
      <c r="A57" s="94"/>
      <c r="B57" s="43"/>
      <c r="E57" s="36"/>
      <c r="F57" s="36"/>
      <c r="G57" s="36"/>
      <c r="H57" s="36"/>
      <c r="I57" s="36"/>
    </row>
    <row r="58" spans="1:9" s="7" customFormat="1" ht="13" outlineLevel="1">
      <c r="A58" s="95"/>
      <c r="B58" s="14" t="s">
        <v>3</v>
      </c>
      <c r="E58" s="37"/>
      <c r="F58" s="37"/>
      <c r="G58" s="37"/>
      <c r="H58" s="37"/>
      <c r="I58" s="37"/>
    </row>
    <row r="59" spans="1:9" s="4" customFormat="1" ht="13" outlineLevel="1">
      <c r="A59" s="94"/>
      <c r="B59" s="14" t="s">
        <v>11</v>
      </c>
      <c r="C59" s="7"/>
      <c r="D59" s="7"/>
      <c r="E59" s="37"/>
      <c r="F59" s="37"/>
      <c r="G59" s="37"/>
      <c r="H59" s="37"/>
      <c r="I59" s="37"/>
    </row>
    <row r="60" spans="1:9" s="4" customFormat="1" ht="13" outlineLevel="1">
      <c r="A60" s="94"/>
      <c r="B60" s="7" t="s">
        <v>4</v>
      </c>
      <c r="C60" s="26">
        <v>5268</v>
      </c>
      <c r="D60" s="26">
        <v>5994</v>
      </c>
      <c r="E60" s="30">
        <f>MAX(0,E87)</f>
        <v>4485.7456655923306</v>
      </c>
      <c r="F60" s="30">
        <f t="shared" ref="F60:I60" si="8">MAX(0,F87)</f>
        <v>3715.4600721520255</v>
      </c>
      <c r="G60" s="30">
        <f t="shared" si="8"/>
        <v>3253.8959108781128</v>
      </c>
      <c r="H60" s="30">
        <f t="shared" si="8"/>
        <v>2781.2611831532413</v>
      </c>
      <c r="I60" s="30">
        <f t="shared" si="8"/>
        <v>2297.1130663193762</v>
      </c>
    </row>
    <row r="61" spans="1:9" s="4" customFormat="1" ht="13" outlineLevel="1">
      <c r="A61" s="94"/>
      <c r="B61" s="7" t="s">
        <v>5</v>
      </c>
      <c r="C61" s="26">
        <v>12685</v>
      </c>
      <c r="D61" s="26">
        <v>14074</v>
      </c>
      <c r="E61" s="30">
        <f>E27/365*E42</f>
        <v>14721.208547945205</v>
      </c>
      <c r="F61" s="30">
        <f t="shared" ref="F61:I61" si="9">F27/365*F42</f>
        <v>15310.056889863014</v>
      </c>
      <c r="G61" s="30">
        <f t="shared" si="9"/>
        <v>15922.459165457534</v>
      </c>
      <c r="H61" s="30">
        <f t="shared" si="9"/>
        <v>16559.357532075835</v>
      </c>
      <c r="I61" s="30">
        <f t="shared" si="9"/>
        <v>17221.73183335887</v>
      </c>
    </row>
    <row r="62" spans="1:9" s="4" customFormat="1" ht="13" outlineLevel="1">
      <c r="A62" s="94"/>
      <c r="B62" s="7" t="s">
        <v>6</v>
      </c>
      <c r="C62" s="26">
        <v>7168</v>
      </c>
      <c r="D62" s="26">
        <v>7691</v>
      </c>
      <c r="E62" s="34">
        <f>-E28/365*E43</f>
        <v>8036.3318794520546</v>
      </c>
      <c r="F62" s="34">
        <f t="shared" ref="F62:I62" si="10">-F28/365*F43</f>
        <v>8357.7851546301354</v>
      </c>
      <c r="G62" s="34">
        <f t="shared" si="10"/>
        <v>8692.0965608153419</v>
      </c>
      <c r="H62" s="34">
        <f t="shared" si="10"/>
        <v>9039.7804232479539</v>
      </c>
      <c r="I62" s="34">
        <f t="shared" si="10"/>
        <v>9401.3716401778729</v>
      </c>
    </row>
    <row r="63" spans="1:9" s="4" customFormat="1" ht="13" outlineLevel="1">
      <c r="A63" s="94"/>
      <c r="B63" s="14" t="s">
        <v>12</v>
      </c>
      <c r="C63" s="27">
        <f>SUM(C60:C62)</f>
        <v>25121</v>
      </c>
      <c r="D63" s="27">
        <f>SUM(D60:D62)</f>
        <v>27759</v>
      </c>
      <c r="E63" s="27">
        <f t="shared" ref="E63:I63" si="11">SUM(E60:E62)</f>
        <v>27243.286092989591</v>
      </c>
      <c r="F63" s="27">
        <f t="shared" si="11"/>
        <v>27383.302116645176</v>
      </c>
      <c r="G63" s="27">
        <f t="shared" si="11"/>
        <v>27868.451637150989</v>
      </c>
      <c r="H63" s="27">
        <f t="shared" si="11"/>
        <v>28380.399138477031</v>
      </c>
      <c r="I63" s="27">
        <f t="shared" si="11"/>
        <v>28920.216539856119</v>
      </c>
    </row>
    <row r="64" spans="1:9" s="4" customFormat="1" ht="13" outlineLevel="1">
      <c r="A64" s="94"/>
      <c r="B64" s="7"/>
      <c r="C64" s="22"/>
      <c r="D64" s="22"/>
      <c r="E64" s="37"/>
      <c r="F64" s="37"/>
      <c r="G64" s="37"/>
      <c r="H64" s="37"/>
      <c r="I64" s="37"/>
    </row>
    <row r="65" spans="1:9" s="4" customFormat="1" ht="13" outlineLevel="1">
      <c r="A65" s="94"/>
      <c r="B65" s="14" t="s">
        <v>7</v>
      </c>
      <c r="C65" s="22"/>
      <c r="D65" s="22"/>
      <c r="E65" s="37"/>
      <c r="F65" s="37"/>
      <c r="G65" s="37"/>
      <c r="H65" s="37"/>
      <c r="I65" s="37"/>
    </row>
    <row r="66" spans="1:9" s="4" customFormat="1" ht="13" outlineLevel="1">
      <c r="A66" s="94"/>
      <c r="B66" s="7" t="s">
        <v>8</v>
      </c>
      <c r="C66" s="26">
        <f>'Financial Model'!C106</f>
        <v>19563</v>
      </c>
      <c r="D66" s="26">
        <f>'Financial Model'!D106</f>
        <v>20371</v>
      </c>
      <c r="E66" s="30">
        <f>E106</f>
        <v>21174.5</v>
      </c>
      <c r="F66" s="30">
        <f t="shared" ref="F66:I66" si="12">F106</f>
        <v>22021.48</v>
      </c>
      <c r="G66" s="30">
        <f t="shared" si="12"/>
        <v>22902.339199999999</v>
      </c>
      <c r="H66" s="30">
        <f t="shared" si="12"/>
        <v>23818.432767999999</v>
      </c>
      <c r="I66" s="30">
        <f t="shared" si="12"/>
        <v>24771.170078719999</v>
      </c>
    </row>
    <row r="67" spans="1:9" s="4" customFormat="1" ht="13" outlineLevel="1">
      <c r="A67" s="94"/>
      <c r="B67" s="7"/>
      <c r="C67" s="22"/>
      <c r="D67" s="22"/>
      <c r="E67" s="37"/>
      <c r="F67" s="37"/>
      <c r="G67" s="37"/>
      <c r="H67" s="37"/>
      <c r="I67" s="37"/>
    </row>
    <row r="68" spans="1:9" s="4" customFormat="1" outlineLevel="1" thickBot="1">
      <c r="A68" s="94"/>
      <c r="B68" s="14" t="s">
        <v>27</v>
      </c>
      <c r="C68" s="28">
        <f>C66+C63</f>
        <v>44684</v>
      </c>
      <c r="D68" s="28">
        <f>D66+D63</f>
        <v>48130</v>
      </c>
      <c r="E68" s="28">
        <f t="shared" ref="E68:I68" si="13">E66+E63</f>
        <v>48417.786092989591</v>
      </c>
      <c r="F68" s="28">
        <f t="shared" si="13"/>
        <v>49404.782116645176</v>
      </c>
      <c r="G68" s="28">
        <f t="shared" si="13"/>
        <v>50770.790837150984</v>
      </c>
      <c r="H68" s="28">
        <f t="shared" si="13"/>
        <v>52198.831906477033</v>
      </c>
      <c r="I68" s="28">
        <f t="shared" si="13"/>
        <v>53691.386618576114</v>
      </c>
    </row>
    <row r="69" spans="1:9" s="4" customFormat="1" ht="13" outlineLevel="1">
      <c r="A69" s="94"/>
      <c r="B69" s="7"/>
      <c r="C69" s="23"/>
      <c r="D69" s="23"/>
      <c r="E69" s="37"/>
      <c r="F69" s="37"/>
      <c r="G69" s="37"/>
      <c r="H69" s="37"/>
      <c r="I69" s="37"/>
    </row>
    <row r="70" spans="1:9" s="4" customFormat="1" ht="13" outlineLevel="1">
      <c r="A70" s="94"/>
      <c r="B70" s="14" t="s">
        <v>10</v>
      </c>
      <c r="C70" s="23"/>
      <c r="D70" s="23"/>
      <c r="E70" s="37"/>
      <c r="F70" s="37"/>
      <c r="G70" s="37"/>
      <c r="H70" s="37"/>
      <c r="I70" s="37"/>
    </row>
    <row r="71" spans="1:9" s="4" customFormat="1" ht="13" outlineLevel="1">
      <c r="A71" s="94"/>
      <c r="B71" s="14" t="s">
        <v>74</v>
      </c>
      <c r="C71" s="23"/>
      <c r="D71" s="23"/>
      <c r="E71" s="37"/>
      <c r="F71" s="37"/>
      <c r="G71" s="37"/>
      <c r="H71" s="37"/>
      <c r="I71" s="37"/>
    </row>
    <row r="72" spans="1:9" s="4" customFormat="1" ht="13" outlineLevel="1">
      <c r="A72" s="94"/>
      <c r="B72" s="102" t="s">
        <v>17</v>
      </c>
      <c r="C72" s="26">
        <v>10001</v>
      </c>
      <c r="D72" s="104">
        <v>10504</v>
      </c>
      <c r="E72" s="103">
        <f>-E29/365*E43</f>
        <v>11077.106104109589</v>
      </c>
      <c r="F72" s="30">
        <f t="shared" ref="F72:I72" si="14">-F29/365*F43</f>
        <v>11520.190348273971</v>
      </c>
      <c r="G72" s="30">
        <f t="shared" si="14"/>
        <v>11980.99796220493</v>
      </c>
      <c r="H72" s="30">
        <f t="shared" si="14"/>
        <v>12460.237880693128</v>
      </c>
      <c r="I72" s="30">
        <f t="shared" si="14"/>
        <v>12958.647395920852</v>
      </c>
    </row>
    <row r="73" spans="1:9" s="4" customFormat="1" ht="13" outlineLevel="1">
      <c r="A73" s="94"/>
      <c r="B73" s="102" t="s">
        <v>73</v>
      </c>
      <c r="C73" s="26">
        <v>1088</v>
      </c>
      <c r="D73" s="104">
        <v>894</v>
      </c>
      <c r="E73" s="103">
        <f>-E52*E31</f>
        <v>580.96113288000049</v>
      </c>
      <c r="F73" s="30">
        <f t="shared" ref="F73:I73" si="15">-F52*F31</f>
        <v>555.11606373120105</v>
      </c>
      <c r="G73" s="30">
        <f t="shared" si="15"/>
        <v>583.18150628044805</v>
      </c>
      <c r="H73" s="30">
        <f t="shared" si="15"/>
        <v>612.36956653166646</v>
      </c>
      <c r="I73" s="30">
        <f t="shared" si="15"/>
        <v>642.72514919293405</v>
      </c>
    </row>
    <row r="74" spans="1:9" s="4" customFormat="1" ht="13" outlineLevel="1">
      <c r="A74" s="94"/>
      <c r="B74" s="105" t="s">
        <v>72</v>
      </c>
      <c r="C74" s="26">
        <f>-'Financial Model'!C112</f>
        <v>4312</v>
      </c>
      <c r="D74" s="107">
        <f>-'Financial Model'!D112</f>
        <v>4209</v>
      </c>
      <c r="E74" s="33">
        <f>-E112</f>
        <v>2930.9750848000026</v>
      </c>
      <c r="F74" s="33">
        <f t="shared" ref="F74:I74" si="16">-F112</f>
        <v>2800.585546752005</v>
      </c>
      <c r="G74" s="33">
        <f t="shared" si="16"/>
        <v>2942.1769686220805</v>
      </c>
      <c r="H74" s="33">
        <f t="shared" si="16"/>
        <v>3089.4320473669668</v>
      </c>
      <c r="I74" s="33">
        <f t="shared" si="16"/>
        <v>3242.5773292616491</v>
      </c>
    </row>
    <row r="75" spans="1:9" s="4" customFormat="1" ht="13" outlineLevel="1">
      <c r="A75" s="94"/>
      <c r="B75" s="105" t="s">
        <v>71</v>
      </c>
      <c r="C75" s="26">
        <v>0</v>
      </c>
      <c r="D75" s="107">
        <v>0</v>
      </c>
      <c r="E75" s="108">
        <f>-MIN(0,E87)</f>
        <v>0</v>
      </c>
      <c r="F75" s="34">
        <f t="shared" ref="F75:I75" si="17">-MIN(0,F87)</f>
        <v>0</v>
      </c>
      <c r="G75" s="34">
        <f t="shared" si="17"/>
        <v>0</v>
      </c>
      <c r="H75" s="34">
        <f t="shared" si="17"/>
        <v>0</v>
      </c>
      <c r="I75" s="34">
        <f t="shared" si="17"/>
        <v>0</v>
      </c>
    </row>
    <row r="76" spans="1:9" s="4" customFormat="1" ht="13" outlineLevel="1">
      <c r="A76" s="94"/>
      <c r="B76" s="7" t="s">
        <v>70</v>
      </c>
      <c r="C76" s="27">
        <f>SUM(C72:C75)</f>
        <v>15401</v>
      </c>
      <c r="D76" s="27">
        <f>SUM(D72:D75)</f>
        <v>15607</v>
      </c>
      <c r="E76" s="27">
        <f t="shared" ref="E76" si="18">SUM(E72:E75)</f>
        <v>14589.042321789591</v>
      </c>
      <c r="F76" s="27">
        <f t="shared" ref="F76" si="19">SUM(F72:F75)</f>
        <v>14875.891958757176</v>
      </c>
      <c r="G76" s="27">
        <f t="shared" ref="G76" si="20">SUM(G72:G75)</f>
        <v>15506.356437107457</v>
      </c>
      <c r="H76" s="27">
        <f t="shared" ref="H76" si="21">SUM(H72:H75)</f>
        <v>16162.039494591761</v>
      </c>
      <c r="I76" s="27">
        <f t="shared" ref="I76" si="22">SUM(I72:I75)</f>
        <v>16843.949874375438</v>
      </c>
    </row>
    <row r="77" spans="1:9" s="4" customFormat="1" ht="13" outlineLevel="1">
      <c r="A77" s="94"/>
      <c r="B77" s="7"/>
      <c r="C77" s="22"/>
      <c r="D77" s="22"/>
      <c r="E77" s="30"/>
      <c r="F77" s="30"/>
      <c r="G77" s="30"/>
      <c r="H77" s="30"/>
      <c r="I77" s="30"/>
    </row>
    <row r="78" spans="1:9" s="4" customFormat="1" ht="13" outlineLevel="1">
      <c r="A78" s="94"/>
      <c r="B78" s="14" t="s">
        <v>69</v>
      </c>
      <c r="C78" s="22"/>
      <c r="D78" s="22"/>
      <c r="E78" s="30"/>
      <c r="F78" s="30"/>
      <c r="G78" s="30"/>
      <c r="H78" s="30"/>
      <c r="I78" s="30"/>
    </row>
    <row r="79" spans="1:9" s="4" customFormat="1" ht="13" outlineLevel="1">
      <c r="A79" s="94"/>
      <c r="B79" s="105" t="s">
        <v>68</v>
      </c>
      <c r="C79" s="26">
        <v>17903</v>
      </c>
      <c r="D79" s="107">
        <v>19427</v>
      </c>
      <c r="E79" s="106">
        <f>E33</f>
        <v>20000</v>
      </c>
      <c r="F79" s="30">
        <f t="shared" ref="F79:I79" si="23">F33</f>
        <v>20000</v>
      </c>
      <c r="G79" s="30">
        <f t="shared" si="23"/>
        <v>20000</v>
      </c>
      <c r="H79" s="30">
        <f t="shared" si="23"/>
        <v>20000</v>
      </c>
      <c r="I79" s="30">
        <f t="shared" si="23"/>
        <v>20000</v>
      </c>
    </row>
    <row r="80" spans="1:9" s="4" customFormat="1" ht="13" outlineLevel="1">
      <c r="A80" s="94"/>
      <c r="B80" s="7"/>
      <c r="C80" s="22"/>
      <c r="D80" s="22"/>
      <c r="E80" s="30"/>
      <c r="F80" s="30"/>
      <c r="G80" s="30"/>
      <c r="H80" s="30"/>
      <c r="I80" s="30"/>
    </row>
    <row r="81" spans="1:9" s="4" customFormat="1" ht="13" outlineLevel="1">
      <c r="A81" s="94"/>
      <c r="B81" s="7" t="s">
        <v>13</v>
      </c>
      <c r="C81" s="22"/>
      <c r="D81" s="22"/>
      <c r="E81" s="30"/>
      <c r="F81" s="30"/>
      <c r="G81" s="30"/>
      <c r="H81" s="30"/>
      <c r="I81" s="30"/>
    </row>
    <row r="82" spans="1:9" s="4" customFormat="1" ht="13" outlineLevel="1">
      <c r="A82" s="94"/>
      <c r="B82" s="105" t="s">
        <v>67</v>
      </c>
      <c r="C82" s="26">
        <v>5524</v>
      </c>
      <c r="D82" s="107">
        <v>5762</v>
      </c>
      <c r="E82" s="106">
        <f>E35</f>
        <v>5762</v>
      </c>
      <c r="F82" s="30">
        <f t="shared" ref="F82:I82" si="24">F35</f>
        <v>5762</v>
      </c>
      <c r="G82" s="30">
        <f t="shared" si="24"/>
        <v>5762</v>
      </c>
      <c r="H82" s="30">
        <f t="shared" si="24"/>
        <v>5762</v>
      </c>
      <c r="I82" s="30">
        <f t="shared" si="24"/>
        <v>5762</v>
      </c>
    </row>
    <row r="83" spans="1:9" s="4" customFormat="1" ht="13" outlineLevel="1">
      <c r="A83" s="94"/>
      <c r="B83" s="7" t="s">
        <v>14</v>
      </c>
      <c r="C83" s="26">
        <f>'Financial Model'!C113</f>
        <v>5856</v>
      </c>
      <c r="D83" s="26">
        <f>'Financial Model'!D113</f>
        <v>7334</v>
      </c>
      <c r="E83" s="30">
        <f>E113</f>
        <v>8066.743771200001</v>
      </c>
      <c r="F83" s="30">
        <f t="shared" ref="F83:I83" si="25">F113</f>
        <v>8766.8901578880032</v>
      </c>
      <c r="G83" s="30">
        <f t="shared" si="25"/>
        <v>9502.4344000435231</v>
      </c>
      <c r="H83" s="30">
        <f t="shared" si="25"/>
        <v>10274.792411885264</v>
      </c>
      <c r="I83" s="30">
        <f t="shared" si="25"/>
        <v>11085.436744200677</v>
      </c>
    </row>
    <row r="84" spans="1:9" s="4" customFormat="1" ht="13" outlineLevel="1">
      <c r="A84" s="94"/>
      <c r="B84" s="7" t="s">
        <v>15</v>
      </c>
      <c r="C84" s="29">
        <f>SUM(C82:C83)</f>
        <v>11380</v>
      </c>
      <c r="D84" s="29">
        <f>SUM(D82:D83)</f>
        <v>13096</v>
      </c>
      <c r="E84" s="29">
        <f>SUM(E82:E83)</f>
        <v>13828.743771200001</v>
      </c>
      <c r="F84" s="29">
        <f t="shared" ref="F84:I84" si="26">SUM(F82:F83)</f>
        <v>14528.890157888003</v>
      </c>
      <c r="G84" s="29">
        <f t="shared" si="26"/>
        <v>15264.434400043523</v>
      </c>
      <c r="H84" s="29">
        <f t="shared" si="26"/>
        <v>16036.792411885264</v>
      </c>
      <c r="I84" s="29">
        <f t="shared" si="26"/>
        <v>16847.436744200677</v>
      </c>
    </row>
    <row r="85" spans="1:9" s="4" customFormat="1" outlineLevel="1" thickBot="1">
      <c r="A85" s="94"/>
      <c r="B85" s="7" t="s">
        <v>16</v>
      </c>
      <c r="C85" s="28">
        <f>C84+C79+C76</f>
        <v>44684</v>
      </c>
      <c r="D85" s="28">
        <f>D84+D79+D76</f>
        <v>48130</v>
      </c>
      <c r="E85" s="28">
        <f>E84+E79+E76</f>
        <v>48417.786092989598</v>
      </c>
      <c r="F85" s="28">
        <f t="shared" ref="F85:I85" si="27">F84+F79+F76</f>
        <v>49404.782116645176</v>
      </c>
      <c r="G85" s="28">
        <f t="shared" si="27"/>
        <v>50770.790837150984</v>
      </c>
      <c r="H85" s="28">
        <f t="shared" si="27"/>
        <v>52198.831906477033</v>
      </c>
      <c r="I85" s="28">
        <f t="shared" si="27"/>
        <v>53691.386618576114</v>
      </c>
    </row>
    <row r="86" spans="1:9" s="4" customFormat="1" ht="13" outlineLevel="1">
      <c r="A86" s="94"/>
      <c r="B86" s="7"/>
      <c r="C86" s="23"/>
      <c r="D86" s="23"/>
      <c r="E86" s="37"/>
      <c r="F86" s="37"/>
      <c r="G86" s="37"/>
      <c r="H86" s="37"/>
      <c r="I86" s="37"/>
    </row>
    <row r="87" spans="1:9" s="4" customFormat="1" ht="13" outlineLevel="1">
      <c r="A87" s="94"/>
      <c r="B87" s="7" t="s">
        <v>66</v>
      </c>
      <c r="C87" s="23">
        <f>(+C72+C73++C74+C79+C82+C83)-(C61+C62+C66)</f>
        <v>5268</v>
      </c>
      <c r="D87" s="23">
        <f>(+D72+D73++D74+D79+D82+D83)-(D61+D62+D66)</f>
        <v>5994</v>
      </c>
      <c r="E87" s="23">
        <f>(+E72+E73++E74+E79+E82+E83)-(E61+E62+E66)</f>
        <v>4485.7456655923306</v>
      </c>
      <c r="F87" s="23">
        <f>(+F72+F73++F74+F79+F82+F83)-(F61+F62+F66)</f>
        <v>3715.4600721520255</v>
      </c>
      <c r="G87" s="23">
        <f>(+G72+G73++G74+G79+G82+G83)-(G61+G62+G66)</f>
        <v>3253.8959108781128</v>
      </c>
      <c r="H87" s="23">
        <f>(+H72+H73++H74+H79+H82+H83)-(H61+H62+H66)</f>
        <v>2781.2611831532413</v>
      </c>
      <c r="I87" s="23">
        <f>(+I72+I73++I74+I79+I82+I83)-(I61+I62+I66)</f>
        <v>2297.1130663193762</v>
      </c>
    </row>
    <row r="88" spans="1:9" s="4" customFormat="1" ht="13" outlineLevel="1">
      <c r="A88" s="94"/>
      <c r="E88" s="36"/>
      <c r="F88" s="36"/>
      <c r="G88" s="36"/>
      <c r="H88" s="36"/>
      <c r="I88" s="36"/>
    </row>
    <row r="89" spans="1:9" s="4" customFormat="1" ht="13">
      <c r="A89" s="94"/>
      <c r="E89" s="36"/>
      <c r="F89" s="36"/>
      <c r="G89" s="36"/>
      <c r="H89" s="36"/>
      <c r="I89" s="36"/>
    </row>
    <row r="90" spans="1:9" s="83" customFormat="1" ht="18">
      <c r="A90" s="93"/>
      <c r="B90" s="6" t="s">
        <v>35</v>
      </c>
      <c r="C90" s="81"/>
      <c r="D90" s="81"/>
      <c r="E90" s="82"/>
      <c r="F90" s="82"/>
      <c r="G90" s="82"/>
      <c r="H90" s="82"/>
      <c r="I90" s="82"/>
    </row>
    <row r="91" spans="1:9" s="4" customFormat="1" ht="13" outlineLevel="1">
      <c r="A91" s="94"/>
      <c r="B91" s="43"/>
      <c r="E91" s="36"/>
      <c r="F91" s="36"/>
      <c r="G91" s="36"/>
      <c r="H91" s="36"/>
      <c r="I91" s="36"/>
    </row>
    <row r="92" spans="1:9" s="7" customFormat="1" ht="13" outlineLevel="1">
      <c r="A92" s="95"/>
      <c r="B92" s="14" t="s">
        <v>81</v>
      </c>
      <c r="E92" s="37"/>
      <c r="F92" s="37"/>
      <c r="G92" s="37"/>
      <c r="H92" s="37"/>
      <c r="I92" s="37"/>
    </row>
    <row r="93" spans="1:9" s="4" customFormat="1" ht="13" outlineLevel="1">
      <c r="A93" s="94"/>
      <c r="B93" s="7"/>
      <c r="C93" s="7"/>
      <c r="D93" s="7"/>
      <c r="E93" s="37"/>
      <c r="F93" s="37"/>
      <c r="G93" s="37"/>
      <c r="H93" s="37"/>
      <c r="I93" s="37"/>
    </row>
    <row r="94" spans="1:9" s="4" customFormat="1" ht="13" outlineLevel="1">
      <c r="A94" s="94"/>
      <c r="B94" s="14" t="s">
        <v>82</v>
      </c>
      <c r="C94" s="37"/>
      <c r="D94" s="37"/>
      <c r="E94" s="37"/>
      <c r="F94" s="37"/>
      <c r="G94" s="37"/>
      <c r="H94" s="37"/>
      <c r="I94" s="37"/>
    </row>
    <row r="95" spans="1:9" s="4" customFormat="1" ht="13" outlineLevel="1">
      <c r="A95" s="94"/>
      <c r="B95" s="7" t="s">
        <v>77</v>
      </c>
      <c r="C95" s="26">
        <v>44014</v>
      </c>
      <c r="D95" s="26">
        <f t="shared" ref="D95" si="28">C98</f>
        <v>44019</v>
      </c>
      <c r="E95" s="30">
        <f>D98</f>
        <v>45593</v>
      </c>
      <c r="F95" s="30">
        <f t="shared" ref="F95:I95" si="29">E98</f>
        <v>47023.685360000003</v>
      </c>
      <c r="G95" s="30">
        <f t="shared" si="29"/>
        <v>48542.589866399998</v>
      </c>
      <c r="H95" s="30">
        <f t="shared" si="29"/>
        <v>50140.352698456001</v>
      </c>
      <c r="I95" s="30">
        <f t="shared" si="29"/>
        <v>51819.22308192424</v>
      </c>
    </row>
    <row r="96" spans="1:9" s="4" customFormat="1" ht="13" outlineLevel="1">
      <c r="A96" s="94"/>
      <c r="B96" s="105" t="s">
        <v>80</v>
      </c>
      <c r="C96" s="26">
        <v>3305</v>
      </c>
      <c r="D96" s="26">
        <v>3611</v>
      </c>
      <c r="E96" s="106">
        <f>E98-E97-E95</f>
        <v>3710.3353600000046</v>
      </c>
      <c r="F96" s="30">
        <f t="shared" ref="F96:I96" si="30">F98-F97-F95</f>
        <v>3870.088774399992</v>
      </c>
      <c r="G96" s="30">
        <f t="shared" si="30"/>
        <v>4024.8923253760004</v>
      </c>
      <c r="H96" s="30">
        <f t="shared" si="30"/>
        <v>4185.8880183910369</v>
      </c>
      <c r="I96" s="30">
        <f t="shared" si="30"/>
        <v>4353.3235391266862</v>
      </c>
    </row>
    <row r="97" spans="1:9" s="4" customFormat="1" ht="13" outlineLevel="1">
      <c r="A97" s="94"/>
      <c r="B97" s="7" t="s">
        <v>78</v>
      </c>
      <c r="C97" s="26">
        <v>-3300</v>
      </c>
      <c r="D97" s="26">
        <v>-2037</v>
      </c>
      <c r="E97" s="30">
        <f>-E95*E24</f>
        <v>-2279.65</v>
      </c>
      <c r="F97" s="30">
        <f t="shared" ref="F97:I97" si="31">-F95*F24</f>
        <v>-2351.1842680000004</v>
      </c>
      <c r="G97" s="30">
        <f t="shared" si="31"/>
        <v>-2427.1294933200002</v>
      </c>
      <c r="H97" s="30">
        <f t="shared" si="31"/>
        <v>-2507.0176349228004</v>
      </c>
      <c r="I97" s="30">
        <f t="shared" si="31"/>
        <v>-2590.9611540962123</v>
      </c>
    </row>
    <row r="98" spans="1:9" s="4" customFormat="1" ht="13" outlineLevel="1">
      <c r="A98" s="94"/>
      <c r="B98" s="7" t="s">
        <v>75</v>
      </c>
      <c r="C98" s="38">
        <f>SUM(C95:C97)</f>
        <v>44019</v>
      </c>
      <c r="D98" s="38">
        <f>SUM(D95:D97)</f>
        <v>45593</v>
      </c>
      <c r="E98" s="38">
        <f>E104+E106</f>
        <v>47023.685360000003</v>
      </c>
      <c r="F98" s="38">
        <f t="shared" ref="F98:I98" si="32">F104+F106</f>
        <v>48542.589866399998</v>
      </c>
      <c r="G98" s="38">
        <f t="shared" si="32"/>
        <v>50140.352698456001</v>
      </c>
      <c r="H98" s="38">
        <f t="shared" si="32"/>
        <v>51819.22308192424</v>
      </c>
      <c r="I98" s="38">
        <f t="shared" si="32"/>
        <v>53581.585466954712</v>
      </c>
    </row>
    <row r="99" spans="1:9" s="4" customFormat="1" ht="13" outlineLevel="1">
      <c r="A99" s="94"/>
      <c r="B99" s="7"/>
      <c r="C99" s="37"/>
      <c r="D99" s="37"/>
      <c r="E99" s="31"/>
      <c r="F99" s="31"/>
      <c r="G99" s="31"/>
      <c r="H99" s="31"/>
      <c r="I99" s="31"/>
    </row>
    <row r="100" spans="1:9" s="4" customFormat="1" ht="13" outlineLevel="1">
      <c r="A100" s="94"/>
      <c r="B100" s="14" t="s">
        <v>9</v>
      </c>
      <c r="C100" s="37"/>
      <c r="D100" s="37"/>
      <c r="E100" s="30"/>
      <c r="F100" s="30"/>
      <c r="G100" s="30"/>
      <c r="H100" s="30"/>
      <c r="I100" s="30"/>
    </row>
    <row r="101" spans="1:9" s="4" customFormat="1" ht="13" outlineLevel="1">
      <c r="A101" s="94"/>
      <c r="B101" s="7" t="s">
        <v>77</v>
      </c>
      <c r="C101" s="26">
        <v>24796</v>
      </c>
      <c r="D101" s="26">
        <f t="shared" ref="D101" si="33">C104</f>
        <v>24456</v>
      </c>
      <c r="E101" s="30">
        <f>D104</f>
        <v>25222</v>
      </c>
      <c r="F101" s="30">
        <f t="shared" ref="F101:I101" si="34">E104</f>
        <v>25849.185359999999</v>
      </c>
      <c r="G101" s="30">
        <f t="shared" si="34"/>
        <v>26521.109866399998</v>
      </c>
      <c r="H101" s="30">
        <f t="shared" si="34"/>
        <v>27238.013498455999</v>
      </c>
      <c r="I101" s="30">
        <f t="shared" si="34"/>
        <v>28000.790313924241</v>
      </c>
    </row>
    <row r="102" spans="1:9" s="4" customFormat="1" ht="13" outlineLevel="1">
      <c r="A102" s="94"/>
      <c r="B102" s="7" t="s">
        <v>79</v>
      </c>
      <c r="C102" s="26">
        <v>2960</v>
      </c>
      <c r="D102" s="26">
        <v>2803</v>
      </c>
      <c r="E102" s="30">
        <f>-E48</f>
        <v>2906.83536</v>
      </c>
      <c r="F102" s="30">
        <f t="shared" ref="F102:I102" si="35">-F48</f>
        <v>3023.1087744000001</v>
      </c>
      <c r="G102" s="30">
        <f t="shared" si="35"/>
        <v>3144.033125376</v>
      </c>
      <c r="H102" s="30">
        <f t="shared" si="35"/>
        <v>3269.7944503910398</v>
      </c>
      <c r="I102" s="30">
        <f t="shared" si="35"/>
        <v>3400.5862284066816</v>
      </c>
    </row>
    <row r="103" spans="1:9" s="4" customFormat="1" ht="13" outlineLevel="1">
      <c r="A103" s="94"/>
      <c r="B103" s="7" t="s">
        <v>78</v>
      </c>
      <c r="C103" s="26">
        <v>-3300</v>
      </c>
      <c r="D103" s="26">
        <v>-2037</v>
      </c>
      <c r="E103" s="30">
        <f>E97</f>
        <v>-2279.65</v>
      </c>
      <c r="F103" s="30">
        <f t="shared" ref="F103:I103" si="36">F97</f>
        <v>-2351.1842680000004</v>
      </c>
      <c r="G103" s="30">
        <f t="shared" si="36"/>
        <v>-2427.1294933200002</v>
      </c>
      <c r="H103" s="30">
        <f t="shared" si="36"/>
        <v>-2507.0176349228004</v>
      </c>
      <c r="I103" s="30">
        <f t="shared" si="36"/>
        <v>-2590.9611540962123</v>
      </c>
    </row>
    <row r="104" spans="1:9" s="4" customFormat="1" ht="13" outlineLevel="1">
      <c r="A104" s="94"/>
      <c r="B104" s="7" t="s">
        <v>75</v>
      </c>
      <c r="C104" s="38">
        <f t="shared" ref="C104:D104" si="37">SUM(C101:C103)</f>
        <v>24456</v>
      </c>
      <c r="D104" s="38">
        <f t="shared" si="37"/>
        <v>25222</v>
      </c>
      <c r="E104" s="31">
        <f>SUM(E101:E103)</f>
        <v>25849.185359999999</v>
      </c>
      <c r="F104" s="31">
        <f t="shared" ref="F104:I104" si="38">SUM(F101:F103)</f>
        <v>26521.109866399998</v>
      </c>
      <c r="G104" s="31">
        <f t="shared" si="38"/>
        <v>27238.013498455999</v>
      </c>
      <c r="H104" s="31">
        <f t="shared" si="38"/>
        <v>28000.790313924241</v>
      </c>
      <c r="I104" s="31">
        <f t="shared" si="38"/>
        <v>28810.415388234709</v>
      </c>
    </row>
    <row r="105" spans="1:9" s="4" customFormat="1" ht="13" outlineLevel="1">
      <c r="A105" s="94"/>
      <c r="B105" s="7"/>
      <c r="C105" s="30"/>
      <c r="D105" s="30"/>
      <c r="E105" s="31"/>
      <c r="F105" s="31"/>
      <c r="G105" s="31"/>
      <c r="H105" s="31"/>
      <c r="I105" s="31"/>
    </row>
    <row r="106" spans="1:9" s="4" customFormat="1" outlineLevel="1" thickBot="1">
      <c r="A106" s="94"/>
      <c r="B106" s="14" t="s">
        <v>83</v>
      </c>
      <c r="C106" s="35">
        <f>C98-C104</f>
        <v>19563</v>
      </c>
      <c r="D106" s="35">
        <f>D98-D104</f>
        <v>20371</v>
      </c>
      <c r="E106" s="35">
        <f>E42/E23</f>
        <v>21174.5</v>
      </c>
      <c r="F106" s="35">
        <f t="shared" ref="F106:I106" si="39">F42/F23</f>
        <v>22021.48</v>
      </c>
      <c r="G106" s="35">
        <f t="shared" si="39"/>
        <v>22902.339199999999</v>
      </c>
      <c r="H106" s="35">
        <f t="shared" si="39"/>
        <v>23818.432767999999</v>
      </c>
      <c r="I106" s="35">
        <f t="shared" si="39"/>
        <v>24771.170078719999</v>
      </c>
    </row>
    <row r="107" spans="1:9" s="4" customFormat="1" outlineLevel="1" thickTop="1">
      <c r="A107" s="94"/>
      <c r="B107" s="7"/>
      <c r="C107" s="37"/>
      <c r="D107" s="37"/>
      <c r="E107" s="37"/>
      <c r="F107" s="37"/>
      <c r="G107" s="37"/>
      <c r="H107" s="37"/>
      <c r="I107" s="37"/>
    </row>
    <row r="108" spans="1:9" s="4" customFormat="1" ht="13" outlineLevel="1">
      <c r="A108" s="94"/>
      <c r="B108" s="7"/>
      <c r="C108" s="37"/>
      <c r="D108" s="37"/>
      <c r="E108" s="37"/>
      <c r="F108" s="37"/>
      <c r="G108" s="37"/>
      <c r="H108" s="37"/>
      <c r="I108" s="37"/>
    </row>
    <row r="109" spans="1:9" s="4" customFormat="1" ht="13" outlineLevel="1">
      <c r="A109" s="94"/>
      <c r="B109" s="14" t="s">
        <v>14</v>
      </c>
      <c r="C109" s="37"/>
      <c r="D109" s="37"/>
      <c r="E109" s="37"/>
      <c r="F109" s="37"/>
      <c r="G109" s="37"/>
      <c r="H109" s="37"/>
      <c r="I109" s="37"/>
    </row>
    <row r="110" spans="1:9" s="4" customFormat="1" ht="13" outlineLevel="1">
      <c r="A110" s="94"/>
      <c r="B110" s="7" t="s">
        <v>77</v>
      </c>
      <c r="C110" s="26">
        <v>4816</v>
      </c>
      <c r="D110" s="30">
        <f t="shared" ref="D110" si="40">C113</f>
        <v>5856</v>
      </c>
      <c r="E110" s="30">
        <f>D113</f>
        <v>7334</v>
      </c>
      <c r="F110" s="30">
        <f t="shared" ref="F110:I110" si="41">E113</f>
        <v>8066.743771200001</v>
      </c>
      <c r="G110" s="30">
        <f t="shared" si="41"/>
        <v>8766.8901578880032</v>
      </c>
      <c r="H110" s="30">
        <f t="shared" si="41"/>
        <v>9502.4344000435231</v>
      </c>
      <c r="I110" s="30">
        <f t="shared" si="41"/>
        <v>10274.792411885264</v>
      </c>
    </row>
    <row r="111" spans="1:9" s="4" customFormat="1" ht="13" outlineLevel="1">
      <c r="A111" s="94"/>
      <c r="B111" s="7" t="s">
        <v>18</v>
      </c>
      <c r="C111" s="30">
        <f>'Financial Model'!C53</f>
        <v>5352</v>
      </c>
      <c r="D111" s="30">
        <f>'Financial Model'!D53</f>
        <v>5687</v>
      </c>
      <c r="E111" s="30">
        <f>'Financial Model'!E53</f>
        <v>3663.7188560000031</v>
      </c>
      <c r="F111" s="30">
        <f>'Financial Model'!F53</f>
        <v>3500.7319334400063</v>
      </c>
      <c r="G111" s="30">
        <f>'Financial Model'!G53</f>
        <v>3677.7212107776004</v>
      </c>
      <c r="H111" s="30">
        <f>'Financial Model'!H53</f>
        <v>3861.790059208708</v>
      </c>
      <c r="I111" s="30">
        <f>'Financial Model'!I53</f>
        <v>4053.2216615770612</v>
      </c>
    </row>
    <row r="112" spans="1:9" s="4" customFormat="1" ht="13" outlineLevel="1">
      <c r="A112" s="94"/>
      <c r="B112" s="7" t="s">
        <v>76</v>
      </c>
      <c r="C112" s="26">
        <v>-4312</v>
      </c>
      <c r="D112" s="26">
        <v>-4209</v>
      </c>
      <c r="E112" s="30">
        <f>-E111*E37</f>
        <v>-2930.9750848000026</v>
      </c>
      <c r="F112" s="30">
        <f t="shared" ref="F112:I112" si="42">-F111*F37</f>
        <v>-2800.585546752005</v>
      </c>
      <c r="G112" s="30">
        <f t="shared" si="42"/>
        <v>-2942.1769686220805</v>
      </c>
      <c r="H112" s="30">
        <f t="shared" si="42"/>
        <v>-3089.4320473669668</v>
      </c>
      <c r="I112" s="30">
        <f t="shared" si="42"/>
        <v>-3242.5773292616491</v>
      </c>
    </row>
    <row r="113" spans="1:9" s="4" customFormat="1" outlineLevel="1" thickBot="1">
      <c r="A113" s="94"/>
      <c r="B113" s="7" t="s">
        <v>75</v>
      </c>
      <c r="C113" s="32">
        <f t="shared" ref="C113:E113" si="43">SUM(C110:C112)</f>
        <v>5856</v>
      </c>
      <c r="D113" s="32">
        <f t="shared" si="43"/>
        <v>7334</v>
      </c>
      <c r="E113" s="32">
        <f t="shared" si="43"/>
        <v>8066.743771200001</v>
      </c>
      <c r="F113" s="32">
        <f t="shared" ref="F113:I113" si="44">SUM(F110:F112)</f>
        <v>8766.8901578880032</v>
      </c>
      <c r="G113" s="32">
        <f t="shared" si="44"/>
        <v>9502.4344000435231</v>
      </c>
      <c r="H113" s="32">
        <f t="shared" si="44"/>
        <v>10274.792411885264</v>
      </c>
      <c r="I113" s="32">
        <f t="shared" si="44"/>
        <v>11085.436744200677</v>
      </c>
    </row>
    <row r="114" spans="1:9" s="4" customFormat="1" outlineLevel="1" thickTop="1">
      <c r="A114" s="94"/>
      <c r="B114" s="7"/>
      <c r="C114" s="37"/>
      <c r="D114" s="37"/>
      <c r="E114" s="37"/>
      <c r="F114" s="37"/>
      <c r="G114" s="37"/>
      <c r="H114" s="37"/>
      <c r="I114" s="37"/>
    </row>
    <row r="115" spans="1:9" s="4" customFormat="1" ht="13">
      <c r="A115" s="94"/>
      <c r="C115" s="36"/>
      <c r="D115" s="36"/>
      <c r="E115" s="36"/>
      <c r="F115" s="36"/>
      <c r="G115" s="36"/>
      <c r="H115" s="36"/>
      <c r="I115" s="36"/>
    </row>
    <row r="116" spans="1:9" s="83" customFormat="1" ht="18">
      <c r="A116" s="93"/>
      <c r="B116" s="6" t="s">
        <v>36</v>
      </c>
      <c r="C116" s="82"/>
      <c r="D116" s="82"/>
      <c r="E116" s="82"/>
      <c r="F116" s="82"/>
      <c r="G116" s="82"/>
      <c r="H116" s="82"/>
      <c r="I116" s="82"/>
    </row>
    <row r="117" spans="1:9" s="4" customFormat="1" ht="13" outlineLevel="1">
      <c r="A117" s="94"/>
      <c r="B117" s="43"/>
      <c r="C117" s="36"/>
      <c r="D117" s="36"/>
      <c r="E117" s="36"/>
      <c r="F117" s="36"/>
      <c r="G117" s="36"/>
      <c r="H117" s="36"/>
      <c r="I117" s="36"/>
    </row>
    <row r="118" spans="1:9" s="7" customFormat="1" ht="13" outlineLevel="1">
      <c r="A118" s="95" t="s">
        <v>130</v>
      </c>
      <c r="B118" s="14" t="s">
        <v>95</v>
      </c>
      <c r="C118" s="90" t="str">
        <f>IF(ABS(C141-C60)&gt;0.001,"ERROR","")</f>
        <v/>
      </c>
      <c r="D118" s="90" t="str">
        <f t="shared" ref="D118:I118" si="45">IF(ABS(D141-D60)&gt;0.001,"ERROR","")</f>
        <v/>
      </c>
      <c r="E118" s="90" t="str">
        <f t="shared" si="45"/>
        <v/>
      </c>
      <c r="F118" s="90" t="str">
        <f t="shared" si="45"/>
        <v>ERROR</v>
      </c>
      <c r="G118" s="90" t="str">
        <f t="shared" si="45"/>
        <v>ERROR</v>
      </c>
      <c r="H118" s="90" t="str">
        <f t="shared" si="45"/>
        <v>ERROR</v>
      </c>
      <c r="I118" s="90" t="str">
        <f t="shared" si="45"/>
        <v>ERROR</v>
      </c>
    </row>
    <row r="119" spans="1:9" s="4" customFormat="1" ht="13" outlineLevel="1">
      <c r="A119" s="94" t="s">
        <v>131</v>
      </c>
      <c r="B119" s="98" t="s">
        <v>18</v>
      </c>
      <c r="C119" s="30">
        <f>'Financial Model'!C53</f>
        <v>5352</v>
      </c>
      <c r="D119" s="30">
        <f>'Financial Model'!D53</f>
        <v>5687</v>
      </c>
      <c r="E119" s="99">
        <f>E53</f>
        <v>3663.7188560000031</v>
      </c>
      <c r="F119" s="30"/>
      <c r="G119" s="30"/>
      <c r="H119" s="30"/>
      <c r="I119" s="30"/>
    </row>
    <row r="120" spans="1:9" s="4" customFormat="1" ht="13" outlineLevel="1">
      <c r="A120" s="94" t="s">
        <v>132</v>
      </c>
      <c r="B120" s="98" t="s">
        <v>19</v>
      </c>
      <c r="C120" s="30">
        <f>'Financial Model'!C102</f>
        <v>2960</v>
      </c>
      <c r="D120" s="30">
        <f>'Financial Model'!D102</f>
        <v>2803</v>
      </c>
      <c r="E120" s="99">
        <f>-E48</f>
        <v>2906.83536</v>
      </c>
      <c r="F120" s="30"/>
      <c r="G120" s="30"/>
      <c r="H120" s="30"/>
      <c r="I120" s="30"/>
    </row>
    <row r="121" spans="1:9" s="4" customFormat="1" ht="13" outlineLevel="1">
      <c r="A121" s="94"/>
      <c r="B121" s="7" t="s">
        <v>94</v>
      </c>
      <c r="C121" s="30"/>
      <c r="D121" s="30"/>
      <c r="E121" s="30"/>
      <c r="F121" s="30"/>
      <c r="G121" s="30"/>
      <c r="H121" s="30"/>
      <c r="I121" s="30"/>
    </row>
    <row r="122" spans="1:9" s="4" customFormat="1" ht="13" outlineLevel="1">
      <c r="A122" s="94" t="s">
        <v>133</v>
      </c>
      <c r="B122" s="98" t="s">
        <v>21</v>
      </c>
      <c r="C122" s="26">
        <v>-1280</v>
      </c>
      <c r="D122" s="30">
        <f>-('Financial Model'!D61-'Financial Model'!C61)</f>
        <v>-1389</v>
      </c>
      <c r="E122" s="99">
        <f>-(E61-D61)</f>
        <v>-647.20854794520528</v>
      </c>
      <c r="F122" s="30"/>
      <c r="G122" s="30"/>
      <c r="H122" s="30"/>
      <c r="I122" s="30"/>
    </row>
    <row r="123" spans="1:9" s="4" customFormat="1" ht="13" outlineLevel="1">
      <c r="A123" s="94" t="s">
        <v>134</v>
      </c>
      <c r="B123" s="98" t="s">
        <v>20</v>
      </c>
      <c r="C123" s="26">
        <v>-470</v>
      </c>
      <c r="D123" s="30">
        <f>-('Financial Model'!D62-'Financial Model'!C62)</f>
        <v>-523</v>
      </c>
      <c r="E123" s="99">
        <f>-(E62-D62)</f>
        <v>-345.33187945205464</v>
      </c>
      <c r="F123" s="30"/>
      <c r="G123" s="30"/>
      <c r="H123" s="30"/>
      <c r="I123" s="30"/>
    </row>
    <row r="124" spans="1:9" s="4" customFormat="1" ht="13" outlineLevel="1">
      <c r="A124" s="94" t="s">
        <v>135</v>
      </c>
      <c r="B124" s="102" t="s">
        <v>22</v>
      </c>
      <c r="C124" s="26">
        <v>490</v>
      </c>
      <c r="D124" s="30">
        <f>'Financial Model'!D72-'Financial Model'!C72</f>
        <v>503</v>
      </c>
      <c r="E124" s="103">
        <f>E72-D72</f>
        <v>573.10610410958907</v>
      </c>
      <c r="F124" s="30"/>
      <c r="G124" s="30"/>
      <c r="H124" s="30"/>
      <c r="I124" s="30"/>
    </row>
    <row r="125" spans="1:9" s="4" customFormat="1" ht="13" outlineLevel="1">
      <c r="A125" s="94" t="s">
        <v>136</v>
      </c>
      <c r="B125" s="102" t="s">
        <v>93</v>
      </c>
      <c r="C125" s="26">
        <v>50</v>
      </c>
      <c r="D125" s="30">
        <f>'Financial Model'!D73-'Financial Model'!C73</f>
        <v>-194</v>
      </c>
      <c r="E125" s="103">
        <f>E73-D73</f>
        <v>-313.03886711999951</v>
      </c>
      <c r="F125" s="30"/>
      <c r="G125" s="30"/>
      <c r="H125" s="30"/>
      <c r="I125" s="30"/>
    </row>
    <row r="126" spans="1:9" s="4" customFormat="1" ht="13" outlineLevel="1">
      <c r="A126" s="94" t="s">
        <v>137</v>
      </c>
      <c r="B126" s="7" t="s">
        <v>92</v>
      </c>
      <c r="C126" s="38">
        <f>SUM(C119:C125)</f>
        <v>7102</v>
      </c>
      <c r="D126" s="38">
        <f>SUM(D119:D125)</f>
        <v>6887</v>
      </c>
      <c r="E126" s="38">
        <f>SUM(E119:E125)</f>
        <v>5838.0810255923325</v>
      </c>
      <c r="F126" s="38"/>
      <c r="G126" s="38"/>
      <c r="H126" s="38"/>
      <c r="I126" s="38"/>
    </row>
    <row r="127" spans="1:9" s="4" customFormat="1" ht="13" outlineLevel="1">
      <c r="A127" s="94"/>
      <c r="B127" s="7"/>
      <c r="C127" s="37"/>
      <c r="D127" s="30"/>
      <c r="E127" s="37"/>
      <c r="F127" s="37"/>
      <c r="G127" s="37"/>
      <c r="H127" s="37"/>
      <c r="I127" s="37"/>
    </row>
    <row r="128" spans="1:9" s="4" customFormat="1" ht="13" outlineLevel="1">
      <c r="A128" s="94"/>
      <c r="B128" s="14" t="s">
        <v>24</v>
      </c>
      <c r="C128" s="37"/>
      <c r="D128" s="30"/>
      <c r="E128" s="37"/>
      <c r="F128" s="37"/>
      <c r="G128" s="37"/>
      <c r="H128" s="37"/>
      <c r="I128" s="37"/>
    </row>
    <row r="129" spans="1:9" s="4" customFormat="1" ht="13" outlineLevel="1">
      <c r="A129" s="94" t="s">
        <v>138</v>
      </c>
      <c r="B129" s="105" t="s">
        <v>91</v>
      </c>
      <c r="C129" s="30">
        <f>-'Financial Model'!C96</f>
        <v>-3305</v>
      </c>
      <c r="D129" s="30">
        <f>-'Financial Model'!D96</f>
        <v>-3611</v>
      </c>
      <c r="E129" s="106">
        <f>-E96</f>
        <v>-3710.3353600000046</v>
      </c>
      <c r="F129" s="30"/>
      <c r="G129" s="30"/>
      <c r="H129" s="30"/>
      <c r="I129" s="30"/>
    </row>
    <row r="130" spans="1:9" s="4" customFormat="1" ht="13" outlineLevel="1">
      <c r="A130" s="94" t="s">
        <v>139</v>
      </c>
      <c r="B130" s="7" t="s">
        <v>90</v>
      </c>
      <c r="C130" s="38">
        <f>C129</f>
        <v>-3305</v>
      </c>
      <c r="D130" s="38">
        <f>D129</f>
        <v>-3611</v>
      </c>
      <c r="E130" s="38">
        <f>SUM(E129)</f>
        <v>-3710.3353600000046</v>
      </c>
      <c r="F130" s="38"/>
      <c r="G130" s="38"/>
      <c r="H130" s="38"/>
      <c r="I130" s="38"/>
    </row>
    <row r="131" spans="1:9" s="4" customFormat="1" ht="13" outlineLevel="1">
      <c r="A131" s="94"/>
      <c r="B131" s="7"/>
      <c r="C131" s="37"/>
      <c r="D131" s="30"/>
      <c r="E131" s="37"/>
      <c r="F131" s="37"/>
      <c r="G131" s="37"/>
      <c r="H131" s="37"/>
      <c r="I131" s="37"/>
    </row>
    <row r="132" spans="1:9" s="4" customFormat="1" ht="13" outlineLevel="1">
      <c r="A132" s="94"/>
      <c r="B132" s="14" t="s">
        <v>25</v>
      </c>
      <c r="C132" s="37"/>
      <c r="D132" s="30"/>
      <c r="E132" s="37"/>
      <c r="F132" s="37"/>
      <c r="G132" s="37"/>
      <c r="H132" s="37"/>
      <c r="I132" s="37"/>
    </row>
    <row r="133" spans="1:9" s="4" customFormat="1" ht="13" outlineLevel="1">
      <c r="A133" s="94" t="s">
        <v>140</v>
      </c>
      <c r="B133" s="105" t="s">
        <v>26</v>
      </c>
      <c r="C133" s="26">
        <v>203</v>
      </c>
      <c r="D133" s="30">
        <f>'Financial Model'!D82-'Financial Model'!C82</f>
        <v>238</v>
      </c>
      <c r="E133" s="106">
        <f>E82-D82</f>
        <v>0</v>
      </c>
      <c r="F133" s="30"/>
      <c r="G133" s="30"/>
      <c r="H133" s="30"/>
      <c r="I133" s="30"/>
    </row>
    <row r="134" spans="1:9" s="4" customFormat="1" ht="13" outlineLevel="1">
      <c r="A134" s="94" t="s">
        <v>141</v>
      </c>
      <c r="B134" s="105" t="s">
        <v>89</v>
      </c>
      <c r="C134" s="26">
        <v>-4200</v>
      </c>
      <c r="D134" s="30">
        <f>'Financial Model'!C112</f>
        <v>-4312</v>
      </c>
      <c r="E134" s="106">
        <f>D112</f>
        <v>-4209</v>
      </c>
      <c r="F134" s="30"/>
      <c r="G134" s="30"/>
      <c r="H134" s="30"/>
      <c r="I134" s="30"/>
    </row>
    <row r="135" spans="1:9" s="4" customFormat="1" ht="13" outlineLevel="1">
      <c r="A135" s="94" t="s">
        <v>142</v>
      </c>
      <c r="B135" s="105" t="s">
        <v>88</v>
      </c>
      <c r="C135" s="26">
        <v>344</v>
      </c>
      <c r="D135" s="30">
        <f>'Financial Model'!D79-'Financial Model'!C79</f>
        <v>1524</v>
      </c>
      <c r="E135" s="106">
        <f>E79-D79</f>
        <v>573</v>
      </c>
      <c r="F135" s="30"/>
      <c r="G135" s="30"/>
      <c r="H135" s="30"/>
      <c r="I135" s="30"/>
    </row>
    <row r="136" spans="1:9" s="4" customFormat="1" ht="13" outlineLevel="1">
      <c r="A136" s="94" t="s">
        <v>143</v>
      </c>
      <c r="B136" s="105" t="s">
        <v>87</v>
      </c>
      <c r="C136" s="26"/>
      <c r="D136" s="30">
        <f>'Financial Model'!D75-'Financial Model'!C75</f>
        <v>0</v>
      </c>
      <c r="E136" s="106">
        <f>E75-D75</f>
        <v>0</v>
      </c>
      <c r="F136" s="30"/>
      <c r="G136" s="30"/>
      <c r="H136" s="30"/>
      <c r="I136" s="30"/>
    </row>
    <row r="137" spans="1:9" s="4" customFormat="1" ht="13" outlineLevel="1">
      <c r="A137" s="94" t="s">
        <v>139</v>
      </c>
      <c r="B137" s="7" t="s">
        <v>23</v>
      </c>
      <c r="C137" s="38">
        <f>SUM(C133:C136)</f>
        <v>-3653</v>
      </c>
      <c r="D137" s="38">
        <f>SUM(D133:D136)</f>
        <v>-2550</v>
      </c>
      <c r="E137" s="38">
        <f>SUM(E133:E136)</f>
        <v>-3636</v>
      </c>
      <c r="F137" s="38"/>
      <c r="G137" s="38"/>
      <c r="H137" s="38"/>
      <c r="I137" s="38"/>
    </row>
    <row r="138" spans="1:9" s="4" customFormat="1" ht="13" outlineLevel="1">
      <c r="A138" s="94"/>
      <c r="B138" s="7"/>
      <c r="C138" s="37"/>
      <c r="D138" s="30"/>
      <c r="E138" s="37"/>
      <c r="F138" s="37"/>
      <c r="G138" s="37"/>
      <c r="H138" s="37"/>
      <c r="I138" s="37"/>
    </row>
    <row r="139" spans="1:9" s="4" customFormat="1" ht="13" outlineLevel="1">
      <c r="A139" s="94" t="s">
        <v>145</v>
      </c>
      <c r="B139" s="7" t="s">
        <v>86</v>
      </c>
      <c r="C139" s="26">
        <f>C126+C130+C137</f>
        <v>144</v>
      </c>
      <c r="D139" s="30">
        <f>D126+D130+D137</f>
        <v>726</v>
      </c>
      <c r="E139" s="30">
        <f>E126+E130+E137</f>
        <v>-1508.2543344076721</v>
      </c>
      <c r="F139" s="30"/>
      <c r="G139" s="30"/>
      <c r="H139" s="30"/>
      <c r="I139" s="30"/>
    </row>
    <row r="140" spans="1:9" s="4" customFormat="1" ht="13" outlineLevel="1">
      <c r="A140" s="94" t="s">
        <v>144</v>
      </c>
      <c r="B140" s="7" t="s">
        <v>85</v>
      </c>
      <c r="C140" s="26">
        <v>5124</v>
      </c>
      <c r="D140" s="30">
        <f>C141</f>
        <v>5268</v>
      </c>
      <c r="E140" s="109">
        <f>D141</f>
        <v>5994</v>
      </c>
      <c r="F140" s="30"/>
      <c r="G140" s="30"/>
      <c r="H140" s="30"/>
      <c r="I140" s="30"/>
    </row>
    <row r="141" spans="1:9" s="4" customFormat="1" ht="13" outlineLevel="1">
      <c r="A141" s="94" t="s">
        <v>139</v>
      </c>
      <c r="B141" s="7" t="s">
        <v>84</v>
      </c>
      <c r="C141" s="38">
        <f>SUM(C139:C140)</f>
        <v>5268</v>
      </c>
      <c r="D141" s="110">
        <f>SUM(D139:D140)</f>
        <v>5994</v>
      </c>
      <c r="E141" s="38">
        <f>SUM(E139:E140)</f>
        <v>4485.7456655923279</v>
      </c>
      <c r="F141" s="38"/>
      <c r="G141" s="38"/>
      <c r="H141" s="38"/>
      <c r="I141" s="38"/>
    </row>
    <row r="142" spans="1:9" s="4" customFormat="1" ht="13" outlineLevel="1">
      <c r="A142" s="94"/>
      <c r="B142" s="7"/>
      <c r="C142" s="7"/>
      <c r="D142" s="12"/>
      <c r="E142" s="7"/>
      <c r="F142" s="7"/>
      <c r="G142" s="7"/>
      <c r="H142" s="7"/>
      <c r="I142" s="7"/>
    </row>
    <row r="143" spans="1:9" s="4" customFormat="1" ht="13">
      <c r="A143" s="94"/>
      <c r="B143" s="7"/>
      <c r="C143" s="41"/>
      <c r="D143" s="42"/>
      <c r="E143" s="41"/>
      <c r="F143" s="41"/>
      <c r="G143" s="41"/>
      <c r="H143" s="41"/>
      <c r="I143" s="41"/>
    </row>
    <row r="144" spans="1:9" s="83" customFormat="1" ht="18">
      <c r="A144" s="93"/>
      <c r="B144" s="6" t="s">
        <v>96</v>
      </c>
      <c r="C144" s="82"/>
      <c r="D144" s="82"/>
      <c r="E144" s="82"/>
      <c r="F144" s="82"/>
      <c r="G144" s="82"/>
      <c r="H144" s="82"/>
      <c r="I144" s="82"/>
    </row>
    <row r="145" spans="1:9" s="4" customFormat="1" ht="13" hidden="1" outlineLevel="1">
      <c r="A145" s="94"/>
      <c r="B145" s="43"/>
      <c r="C145" s="36"/>
      <c r="D145" s="36"/>
      <c r="E145" s="36"/>
      <c r="F145" s="36"/>
      <c r="G145" s="36"/>
      <c r="H145" s="36"/>
      <c r="I145" s="36"/>
    </row>
    <row r="146" spans="1:9" s="7" customFormat="1" ht="13" hidden="1" outlineLevel="1">
      <c r="A146" s="95"/>
      <c r="B146" s="43" t="s">
        <v>95</v>
      </c>
      <c r="C146" s="4"/>
      <c r="D146" s="4"/>
      <c r="E146" s="4"/>
      <c r="F146" s="4"/>
      <c r="G146" s="4"/>
      <c r="H146" s="4"/>
      <c r="I146" s="4"/>
    </row>
    <row r="147" spans="1:9" s="4" customFormat="1" ht="13" hidden="1" outlineLevel="1">
      <c r="A147" s="94"/>
      <c r="B147" s="4" t="s">
        <v>31</v>
      </c>
      <c r="C147" s="55"/>
      <c r="D147" s="55"/>
      <c r="E147" s="55"/>
      <c r="F147" s="55"/>
      <c r="G147" s="55"/>
      <c r="H147" s="55"/>
      <c r="I147" s="55"/>
    </row>
    <row r="148" spans="1:9" s="4" customFormat="1" ht="13" hidden="1" outlineLevel="1">
      <c r="A148" s="94"/>
      <c r="B148" s="4" t="s">
        <v>19</v>
      </c>
      <c r="C148" s="56"/>
      <c r="D148" s="56"/>
      <c r="E148" s="56"/>
      <c r="F148" s="56"/>
      <c r="G148" s="56"/>
      <c r="H148" s="56"/>
      <c r="I148" s="56"/>
    </row>
    <row r="149" spans="1:9" s="4" customFormat="1" ht="13" hidden="1" outlineLevel="1">
      <c r="A149" s="94"/>
      <c r="B149" s="43" t="s">
        <v>128</v>
      </c>
      <c r="C149" s="57"/>
      <c r="D149" s="57"/>
      <c r="E149" s="57"/>
      <c r="F149" s="57"/>
      <c r="G149" s="57"/>
      <c r="H149" s="57"/>
      <c r="I149" s="57"/>
    </row>
    <row r="150" spans="1:9" s="4" customFormat="1" ht="13" hidden="1" outlineLevel="1">
      <c r="A150" s="94"/>
      <c r="B150" s="4" t="s">
        <v>127</v>
      </c>
      <c r="C150" s="55"/>
      <c r="D150" s="55"/>
      <c r="E150" s="55"/>
      <c r="F150" s="55"/>
      <c r="G150" s="55"/>
      <c r="H150" s="55"/>
      <c r="I150" s="55"/>
    </row>
    <row r="151" spans="1:9" s="4" customFormat="1" ht="13" hidden="1" outlineLevel="1">
      <c r="A151" s="94"/>
      <c r="B151" s="4" t="s">
        <v>94</v>
      </c>
      <c r="C151" s="55"/>
      <c r="D151" s="55"/>
      <c r="E151" s="55"/>
      <c r="F151" s="55"/>
      <c r="G151" s="55"/>
      <c r="H151" s="55"/>
      <c r="I151" s="55"/>
    </row>
    <row r="152" spans="1:9" s="4" customFormat="1" ht="13" hidden="1" outlineLevel="1">
      <c r="A152" s="94"/>
      <c r="B152" s="4" t="s">
        <v>21</v>
      </c>
      <c r="C152" s="55"/>
      <c r="D152" s="55"/>
      <c r="E152" s="55"/>
      <c r="F152" s="55"/>
      <c r="G152" s="55"/>
      <c r="H152" s="55"/>
      <c r="I152" s="55"/>
    </row>
    <row r="153" spans="1:9" s="4" customFormat="1" ht="13" hidden="1" outlineLevel="1">
      <c r="A153" s="94"/>
      <c r="B153" s="4" t="s">
        <v>20</v>
      </c>
      <c r="C153" s="55"/>
      <c r="D153" s="55"/>
      <c r="E153" s="55"/>
      <c r="F153" s="55"/>
      <c r="G153" s="55"/>
      <c r="H153" s="55"/>
      <c r="I153" s="55"/>
    </row>
    <row r="154" spans="1:9" s="4" customFormat="1" ht="13" hidden="1" outlineLevel="1">
      <c r="A154" s="94"/>
      <c r="B154" s="4" t="s">
        <v>22</v>
      </c>
      <c r="C154" s="55"/>
      <c r="D154" s="55"/>
      <c r="E154" s="55"/>
      <c r="F154" s="55"/>
      <c r="G154" s="55"/>
      <c r="H154" s="55"/>
      <c r="I154" s="55"/>
    </row>
    <row r="155" spans="1:9" s="4" customFormat="1" ht="13" hidden="1" outlineLevel="1">
      <c r="A155" s="94"/>
      <c r="B155" s="4" t="s">
        <v>93</v>
      </c>
      <c r="C155" s="55"/>
      <c r="D155" s="55"/>
      <c r="E155" s="55"/>
      <c r="F155" s="55"/>
      <c r="G155" s="55"/>
      <c r="H155" s="55"/>
      <c r="I155" s="55"/>
    </row>
    <row r="156" spans="1:9" s="4" customFormat="1" ht="13" hidden="1" outlineLevel="1">
      <c r="A156" s="94"/>
      <c r="B156" s="4" t="s">
        <v>92</v>
      </c>
      <c r="C156" s="58"/>
      <c r="D156" s="58"/>
      <c r="E156" s="58"/>
      <c r="F156" s="58"/>
      <c r="G156" s="58"/>
      <c r="H156" s="58"/>
      <c r="I156" s="58"/>
    </row>
    <row r="157" spans="1:9" s="4" customFormat="1" ht="13" hidden="1" outlineLevel="1">
      <c r="A157" s="94"/>
      <c r="C157" s="55"/>
      <c r="D157" s="55"/>
      <c r="E157" s="55"/>
      <c r="F157" s="55"/>
      <c r="G157" s="55"/>
      <c r="H157" s="55"/>
      <c r="I157" s="55"/>
    </row>
    <row r="158" spans="1:9" s="4" customFormat="1" ht="13" hidden="1" outlineLevel="1">
      <c r="A158" s="94"/>
      <c r="B158" s="43" t="s">
        <v>24</v>
      </c>
      <c r="C158" s="55"/>
      <c r="D158" s="55"/>
      <c r="E158" s="55"/>
      <c r="F158" s="55"/>
      <c r="G158" s="55"/>
      <c r="H158" s="55"/>
      <c r="I158" s="55"/>
    </row>
    <row r="159" spans="1:9" s="4" customFormat="1" ht="13" hidden="1" outlineLevel="1">
      <c r="A159" s="94"/>
      <c r="B159" s="4" t="s">
        <v>91</v>
      </c>
      <c r="C159" s="55"/>
      <c r="D159" s="55"/>
      <c r="E159" s="55"/>
      <c r="F159" s="55"/>
      <c r="G159" s="55"/>
      <c r="H159" s="55"/>
      <c r="I159" s="55"/>
    </row>
    <row r="160" spans="1:9" s="4" customFormat="1" ht="13" hidden="1" outlineLevel="1">
      <c r="A160" s="94"/>
      <c r="B160" s="4" t="s">
        <v>90</v>
      </c>
      <c r="C160" s="58"/>
      <c r="D160" s="58"/>
      <c r="E160" s="58"/>
      <c r="F160" s="58"/>
      <c r="G160" s="58"/>
      <c r="H160" s="58"/>
      <c r="I160" s="58"/>
    </row>
    <row r="161" spans="1:9" s="4" customFormat="1" ht="13" hidden="1" outlineLevel="1">
      <c r="A161" s="94"/>
      <c r="C161" s="55"/>
      <c r="D161" s="55"/>
      <c r="E161" s="36"/>
      <c r="F161" s="36"/>
      <c r="G161" s="36"/>
      <c r="H161" s="36"/>
      <c r="I161" s="36"/>
    </row>
    <row r="162" spans="1:9" s="4" customFormat="1" ht="13" hidden="1" outlineLevel="1">
      <c r="A162" s="94"/>
      <c r="B162" s="43" t="s">
        <v>126</v>
      </c>
      <c r="C162" s="57"/>
      <c r="D162" s="57"/>
      <c r="E162" s="57"/>
      <c r="F162" s="57"/>
      <c r="G162" s="57"/>
      <c r="H162" s="57"/>
      <c r="I162" s="57"/>
    </row>
    <row r="163" spans="1:9" s="4" customFormat="1" ht="13" hidden="1" outlineLevel="1">
      <c r="A163" s="94"/>
      <c r="C163" s="36"/>
      <c r="D163" s="36"/>
      <c r="E163" s="36"/>
      <c r="F163" s="36"/>
      <c r="G163" s="36"/>
      <c r="H163" s="59"/>
      <c r="I163" s="36"/>
    </row>
    <row r="164" spans="1:9" s="4" customFormat="1" ht="13" hidden="1" outlineLevel="1">
      <c r="A164" s="94"/>
      <c r="B164" s="43" t="s">
        <v>106</v>
      </c>
      <c r="C164" s="64"/>
      <c r="D164" s="64"/>
      <c r="E164" s="65">
        <f>1/((1+$C$180)^(E2-$D$2))</f>
        <v>0.93506882106523048</v>
      </c>
      <c r="F164" s="65">
        <f t="shared" ref="F164:I164" si="46">1/((1+$C$180)^(F2-$D$2))</f>
        <v>0.87435370012831992</v>
      </c>
      <c r="G164" s="65">
        <f t="shared" si="46"/>
        <v>0.81758088357301006</v>
      </c>
      <c r="H164" s="65">
        <f t="shared" si="46"/>
        <v>0.76449439292808397</v>
      </c>
      <c r="I164" s="65">
        <f t="shared" si="46"/>
        <v>0.71485487070624254</v>
      </c>
    </row>
    <row r="165" spans="1:9" s="4" customFormat="1" ht="13" hidden="1" outlineLevel="1">
      <c r="A165" s="94"/>
      <c r="C165" s="36"/>
      <c r="D165" s="36"/>
      <c r="E165" s="61"/>
      <c r="F165" s="61"/>
      <c r="G165" s="61"/>
      <c r="H165" s="61"/>
      <c r="I165" s="61"/>
    </row>
    <row r="166" spans="1:9" s="4" customFormat="1" hidden="1" outlineLevel="1" thickBot="1">
      <c r="A166" s="94"/>
      <c r="B166" s="43" t="s">
        <v>125</v>
      </c>
      <c r="C166" s="36"/>
      <c r="D166" s="36"/>
      <c r="E166" s="62">
        <f>E162*E164</f>
        <v>0</v>
      </c>
      <c r="F166" s="62">
        <f>F162*F164</f>
        <v>0</v>
      </c>
      <c r="G166" s="62">
        <f>G162*G164</f>
        <v>0</v>
      </c>
      <c r="H166" s="62">
        <f>H162*H164</f>
        <v>0</v>
      </c>
      <c r="I166" s="62">
        <f>I162*I164</f>
        <v>0</v>
      </c>
    </row>
    <row r="167" spans="1:9" s="4" customFormat="1" hidden="1" outlineLevel="1" thickTop="1">
      <c r="A167" s="94"/>
      <c r="B167" s="43"/>
      <c r="C167" s="36"/>
      <c r="D167" s="36"/>
      <c r="E167" s="63"/>
      <c r="F167" s="63"/>
      <c r="G167" s="63"/>
      <c r="H167" s="63"/>
      <c r="I167" s="63"/>
    </row>
    <row r="168" spans="1:9" s="4" customFormat="1" ht="13" hidden="1" outlineLevel="1">
      <c r="A168" s="94"/>
      <c r="B168" s="4" t="s">
        <v>124</v>
      </c>
      <c r="C168" s="52">
        <v>0.06</v>
      </c>
      <c r="D168" s="46"/>
      <c r="E168" s="45"/>
      <c r="F168" s="45"/>
      <c r="G168" s="45"/>
      <c r="H168" s="45"/>
      <c r="I168" s="45"/>
    </row>
    <row r="169" spans="1:9" s="4" customFormat="1" ht="13" hidden="1" outlineLevel="1">
      <c r="A169" s="94"/>
      <c r="B169" s="4" t="s">
        <v>123</v>
      </c>
      <c r="C169" s="52">
        <v>0.05</v>
      </c>
      <c r="D169" s="46"/>
      <c r="E169" s="45"/>
      <c r="F169" s="45"/>
      <c r="G169" s="45"/>
      <c r="H169" s="45"/>
      <c r="I169" s="45"/>
    </row>
    <row r="170" spans="1:9" s="4" customFormat="1" hidden="1" outlineLevel="1" thickBot="1">
      <c r="A170" s="94"/>
      <c r="B170" s="4" t="s">
        <v>122</v>
      </c>
      <c r="C170" s="53">
        <v>0.76</v>
      </c>
      <c r="D170" s="46"/>
      <c r="E170" s="45"/>
      <c r="F170" s="45"/>
      <c r="G170" s="45"/>
      <c r="H170" s="45"/>
      <c r="I170" s="45"/>
    </row>
    <row r="171" spans="1:9" s="4" customFormat="1" hidden="1" outlineLevel="1" thickBot="1">
      <c r="A171" s="94"/>
      <c r="B171" s="43" t="s">
        <v>121</v>
      </c>
      <c r="C171" s="47">
        <f>+C168+C170*C169</f>
        <v>9.8000000000000004E-2</v>
      </c>
      <c r="D171" s="46"/>
      <c r="E171" s="45"/>
      <c r="F171" s="45"/>
      <c r="G171" s="45"/>
      <c r="H171" s="45"/>
      <c r="I171" s="45"/>
    </row>
    <row r="172" spans="1:9" s="4" customFormat="1" ht="13" hidden="1" outlineLevel="1">
      <c r="A172" s="94"/>
      <c r="B172" s="43"/>
      <c r="C172" s="48"/>
      <c r="D172" s="46"/>
      <c r="E172" s="45"/>
      <c r="F172" s="45"/>
      <c r="G172" s="45"/>
      <c r="H172" s="45"/>
      <c r="I172" s="45"/>
    </row>
    <row r="173" spans="1:9" s="4" customFormat="1" ht="13" hidden="1" outlineLevel="1">
      <c r="A173" s="94"/>
      <c r="B173" s="4" t="s">
        <v>120</v>
      </c>
      <c r="C173" s="52">
        <v>7.1999999999999995E-2</v>
      </c>
      <c r="D173" s="46"/>
      <c r="E173" s="45"/>
      <c r="F173" s="45"/>
      <c r="G173" s="45"/>
      <c r="H173" s="45"/>
      <c r="I173" s="45"/>
    </row>
    <row r="174" spans="1:9" s="4" customFormat="1" hidden="1" outlineLevel="1" thickBot="1">
      <c r="A174" s="94"/>
      <c r="B174" s="4" t="s">
        <v>119</v>
      </c>
      <c r="C174" s="52">
        <v>0.3</v>
      </c>
      <c r="D174" s="46"/>
      <c r="E174" s="45"/>
      <c r="F174" s="45"/>
      <c r="G174" s="45"/>
      <c r="H174" s="45"/>
      <c r="I174" s="45"/>
    </row>
    <row r="175" spans="1:9" s="4" customFormat="1" hidden="1" outlineLevel="1" thickBot="1">
      <c r="A175" s="94"/>
      <c r="B175" s="43" t="s">
        <v>118</v>
      </c>
      <c r="C175" s="47">
        <f>C173*(1-C174)</f>
        <v>5.0399999999999993E-2</v>
      </c>
      <c r="D175" s="46"/>
      <c r="E175" s="45"/>
      <c r="F175" s="45"/>
      <c r="G175" s="45"/>
      <c r="H175" s="45"/>
      <c r="I175" s="45"/>
    </row>
    <row r="176" spans="1:9" s="4" customFormat="1" ht="13" hidden="1" outlineLevel="1">
      <c r="A176" s="94"/>
      <c r="B176" s="43"/>
      <c r="C176" s="48"/>
      <c r="D176" s="46"/>
      <c r="E176" s="45"/>
      <c r="F176" s="45"/>
      <c r="G176" s="45"/>
      <c r="H176" s="45"/>
      <c r="I176" s="45"/>
    </row>
    <row r="177" spans="1:9" s="4" customFormat="1" ht="13" hidden="1" outlineLevel="1">
      <c r="A177" s="94"/>
      <c r="B177" s="4" t="s">
        <v>117</v>
      </c>
      <c r="C177" s="52">
        <v>0.6</v>
      </c>
      <c r="D177" s="46"/>
      <c r="E177" s="45"/>
      <c r="F177" s="45"/>
      <c r="G177" s="45"/>
      <c r="H177" s="45"/>
      <c r="I177" s="45"/>
    </row>
    <row r="178" spans="1:9" s="4" customFormat="1" ht="13" hidden="1" outlineLevel="1">
      <c r="A178" s="94"/>
      <c r="B178" s="4" t="s">
        <v>116</v>
      </c>
      <c r="C178" s="54">
        <f>1-C177</f>
        <v>0.4</v>
      </c>
      <c r="D178" s="46"/>
      <c r="E178" s="45"/>
      <c r="F178" s="45"/>
      <c r="G178" s="45"/>
      <c r="H178" s="45"/>
      <c r="I178" s="45"/>
    </row>
    <row r="179" spans="1:9" s="4" customFormat="1" hidden="1" outlineLevel="1" thickBot="1">
      <c r="A179" s="94"/>
      <c r="B179" s="43"/>
      <c r="C179" s="48"/>
      <c r="D179" s="46"/>
      <c r="E179" s="45"/>
      <c r="F179" s="45"/>
      <c r="G179" s="45"/>
      <c r="H179" s="45"/>
      <c r="I179" s="45"/>
    </row>
    <row r="180" spans="1:9" s="4" customFormat="1" hidden="1" outlineLevel="1" thickBot="1">
      <c r="A180" s="94"/>
      <c r="B180" s="43" t="s">
        <v>115</v>
      </c>
      <c r="C180" s="47">
        <f>C178*C171+C175*C177</f>
        <v>6.9440000000000002E-2</v>
      </c>
      <c r="D180" s="46"/>
      <c r="E180" s="45"/>
      <c r="F180" s="45"/>
      <c r="G180" s="45"/>
      <c r="H180" s="45"/>
      <c r="I180" s="45"/>
    </row>
    <row r="181" spans="1:9" s="4" customFormat="1" hidden="1" outlineLevel="1" thickBot="1">
      <c r="A181" s="94"/>
      <c r="B181" s="43"/>
      <c r="C181" s="48"/>
      <c r="D181" s="46"/>
      <c r="E181" s="45"/>
      <c r="F181" s="45"/>
      <c r="G181" s="45"/>
      <c r="H181" s="45"/>
      <c r="I181" s="45"/>
    </row>
    <row r="182" spans="1:9" s="4" customFormat="1" hidden="1" outlineLevel="1" thickBot="1">
      <c r="A182" s="94"/>
      <c r="B182" s="43" t="s">
        <v>114</v>
      </c>
      <c r="C182" s="86">
        <v>0.02</v>
      </c>
      <c r="D182" s="46"/>
      <c r="E182" s="45"/>
      <c r="F182" s="45"/>
      <c r="G182" s="45"/>
      <c r="H182" s="45"/>
      <c r="I182" s="45"/>
    </row>
    <row r="183" spans="1:9" s="4" customFormat="1" ht="13" hidden="1" outlineLevel="1">
      <c r="A183" s="94"/>
      <c r="C183" s="48"/>
      <c r="D183" s="46"/>
      <c r="E183" s="44"/>
      <c r="F183" s="44"/>
      <c r="G183" s="44"/>
      <c r="H183" s="44"/>
      <c r="I183" s="44"/>
    </row>
    <row r="184" spans="1:9" s="4" customFormat="1" hidden="1" outlineLevel="1" thickBot="1">
      <c r="A184" s="94"/>
      <c r="B184" s="43" t="s">
        <v>113</v>
      </c>
      <c r="C184" s="48"/>
      <c r="D184" s="48"/>
    </row>
    <row r="185" spans="1:9" s="4" customFormat="1" ht="13" hidden="1" outlineLevel="1">
      <c r="A185" s="94"/>
      <c r="B185" s="4" t="s">
        <v>112</v>
      </c>
      <c r="C185" s="66">
        <f>+I162</f>
        <v>0</v>
      </c>
      <c r="D185" s="48"/>
    </row>
    <row r="186" spans="1:9" s="4" customFormat="1" ht="13" hidden="1" outlineLevel="1">
      <c r="A186" s="94"/>
      <c r="B186" s="4" t="s">
        <v>111</v>
      </c>
      <c r="C186" s="67">
        <f>-(I159+I148)</f>
        <v>0</v>
      </c>
      <c r="D186" s="48"/>
    </row>
    <row r="187" spans="1:9" s="4" customFormat="1" hidden="1" outlineLevel="1" thickBot="1">
      <c r="A187" s="94"/>
      <c r="B187" s="4" t="s">
        <v>110</v>
      </c>
      <c r="C187" s="68">
        <f>+C185+C186</f>
        <v>0</v>
      </c>
      <c r="D187" s="48"/>
    </row>
    <row r="188" spans="1:9" s="4" customFormat="1" hidden="1" outlineLevel="1" thickBot="1">
      <c r="A188" s="94"/>
      <c r="B188" s="4" t="s">
        <v>109</v>
      </c>
      <c r="C188" s="69">
        <f>C187*(1+C182)</f>
        <v>0</v>
      </c>
      <c r="D188" s="48"/>
    </row>
    <row r="189" spans="1:9" s="4" customFormat="1" hidden="1" outlineLevel="1" thickTop="1">
      <c r="A189" s="94"/>
      <c r="C189" s="70"/>
      <c r="D189" s="48"/>
    </row>
    <row r="190" spans="1:9" s="4" customFormat="1" hidden="1" outlineLevel="1" thickBot="1">
      <c r="A190" s="94"/>
      <c r="B190" s="43" t="s">
        <v>108</v>
      </c>
      <c r="C190" s="70"/>
      <c r="D190" s="48"/>
    </row>
    <row r="191" spans="1:9" s="4" customFormat="1" hidden="1" outlineLevel="1">
      <c r="A191" s="94"/>
      <c r="B191" s="49" t="s">
        <v>107</v>
      </c>
      <c r="C191" s="71">
        <f>C188/(C180-C182)</f>
        <v>0</v>
      </c>
      <c r="D191" s="48"/>
    </row>
    <row r="192" spans="1:9" s="4" customFormat="1" ht="15" hidden="1" outlineLevel="1" thickBot="1">
      <c r="A192" s="94"/>
      <c r="B192" s="49" t="s">
        <v>106</v>
      </c>
      <c r="C192" s="76">
        <f>I164</f>
        <v>0.71485487070624254</v>
      </c>
      <c r="D192" s="48"/>
    </row>
    <row r="193" spans="1:4" s="4" customFormat="1" ht="15" hidden="1" outlineLevel="1" thickBot="1">
      <c r="A193" s="94"/>
      <c r="B193" s="49" t="s">
        <v>105</v>
      </c>
      <c r="C193" s="72">
        <f>C191*C192</f>
        <v>0</v>
      </c>
      <c r="D193" s="48"/>
    </row>
    <row r="194" spans="1:4" s="4" customFormat="1" hidden="1" outlineLevel="1" thickTop="1">
      <c r="A194" s="94"/>
      <c r="B194" s="49"/>
      <c r="C194" s="73"/>
      <c r="D194" s="48"/>
    </row>
    <row r="195" spans="1:4" s="4" customFormat="1" hidden="1" outlineLevel="1">
      <c r="A195" s="94"/>
      <c r="B195" s="50" t="s">
        <v>104</v>
      </c>
      <c r="C195" s="55"/>
      <c r="D195" s="48"/>
    </row>
    <row r="196" spans="1:4" s="4" customFormat="1" ht="13" hidden="1" outlineLevel="1">
      <c r="A196" s="94"/>
      <c r="B196" s="4" t="s">
        <v>103</v>
      </c>
      <c r="C196" s="55">
        <f>SUM(E166:I166)</f>
        <v>0</v>
      </c>
      <c r="D196" s="51"/>
    </row>
    <row r="197" spans="1:4" s="4" customFormat="1" ht="13" hidden="1" outlineLevel="1">
      <c r="A197" s="94"/>
      <c r="B197" s="4" t="s">
        <v>102</v>
      </c>
      <c r="C197" s="56">
        <f>C193</f>
        <v>0</v>
      </c>
      <c r="D197" s="51"/>
    </row>
    <row r="198" spans="1:4" s="4" customFormat="1" ht="13" hidden="1" outlineLevel="1">
      <c r="A198" s="94"/>
      <c r="B198" s="43" t="s">
        <v>101</v>
      </c>
      <c r="C198" s="57">
        <f>SUM(C196:C197)</f>
        <v>0</v>
      </c>
      <c r="D198" s="48"/>
    </row>
    <row r="199" spans="1:4" s="4" customFormat="1" ht="13" hidden="1" outlineLevel="1">
      <c r="A199" s="94"/>
      <c r="B199" s="4" t="s">
        <v>100</v>
      </c>
      <c r="C199" s="56">
        <f>-(D79+D75-D60)</f>
        <v>-13433</v>
      </c>
      <c r="D199" s="48"/>
    </row>
    <row r="200" spans="1:4" s="4" customFormat="1" hidden="1" outlineLevel="1" thickBot="1">
      <c r="A200" s="94"/>
      <c r="B200" s="43" t="s">
        <v>99</v>
      </c>
      <c r="C200" s="74">
        <f>C198+C199</f>
        <v>-13433</v>
      </c>
      <c r="D200" s="48"/>
    </row>
    <row r="201" spans="1:4" s="4" customFormat="1" hidden="1" outlineLevel="1" thickTop="1">
      <c r="A201" s="94"/>
      <c r="B201" s="43"/>
      <c r="C201" s="60"/>
      <c r="D201" s="48"/>
    </row>
    <row r="202" spans="1:4" s="4" customFormat="1" ht="13" hidden="1" outlineLevel="1">
      <c r="A202" s="94"/>
      <c r="B202" s="4" t="s">
        <v>98</v>
      </c>
      <c r="C202" s="87">
        <v>2767</v>
      </c>
      <c r="D202" s="48"/>
    </row>
    <row r="203" spans="1:4" s="4" customFormat="1" hidden="1" outlineLevel="1" thickBot="1">
      <c r="A203" s="94"/>
      <c r="C203" s="60"/>
      <c r="D203" s="48"/>
    </row>
    <row r="204" spans="1:4" s="4" customFormat="1" hidden="1" outlineLevel="1" thickBot="1">
      <c r="A204" s="94"/>
      <c r="B204" s="43" t="s">
        <v>97</v>
      </c>
      <c r="C204" s="75">
        <f>C200/C202</f>
        <v>-4.8547162992410549</v>
      </c>
      <c r="D204" s="48"/>
    </row>
    <row r="205" spans="1:4" s="4" customFormat="1" ht="13" hidden="1" outlineLevel="1">
      <c r="A205" s="94"/>
    </row>
    <row r="206" spans="1:4" s="4" customFormat="1" ht="13" collapsed="1">
      <c r="A206" s="94"/>
    </row>
    <row r="207" spans="1:4" s="4" customFormat="1" ht="13">
      <c r="A207" s="94"/>
    </row>
    <row r="208" spans="1:4" s="4" customFormat="1" ht="13">
      <c r="A208" s="94"/>
    </row>
    <row r="209" spans="1:1" s="4" customFormat="1" ht="13">
      <c r="A209" s="94"/>
    </row>
    <row r="210" spans="1:1" s="4" customFormat="1" ht="13">
      <c r="A210" s="94"/>
    </row>
    <row r="211" spans="1:1" s="4" customFormat="1" ht="13">
      <c r="A211" s="94"/>
    </row>
    <row r="212" spans="1:1" s="4" customFormat="1" ht="13">
      <c r="A212" s="94"/>
    </row>
    <row r="213" spans="1:1" s="4" customFormat="1" ht="13">
      <c r="A213" s="94"/>
    </row>
    <row r="214" spans="1:1" s="4" customFormat="1" ht="13">
      <c r="A214" s="94"/>
    </row>
    <row r="215" spans="1:1" s="4" customFormat="1" ht="13">
      <c r="A215" s="94"/>
    </row>
    <row r="216" spans="1:1" s="4" customFormat="1" ht="13">
      <c r="A216" s="94"/>
    </row>
    <row r="217" spans="1:1" s="4" customFormat="1" ht="13">
      <c r="A217" s="94"/>
    </row>
    <row r="218" spans="1:1" s="4" customFormat="1" ht="13">
      <c r="A218" s="94"/>
    </row>
    <row r="219" spans="1:1" s="4" customFormat="1" ht="13">
      <c r="A219" s="94"/>
    </row>
    <row r="220" spans="1:1" s="4" customFormat="1" ht="13">
      <c r="A220" s="94"/>
    </row>
    <row r="221" spans="1:1" s="4" customFormat="1" ht="13">
      <c r="A221" s="94"/>
    </row>
    <row r="222" spans="1:1" s="4" customFormat="1" ht="13">
      <c r="A222" s="94"/>
    </row>
    <row r="223" spans="1:1" s="4" customFormat="1" ht="13">
      <c r="A223" s="94"/>
    </row>
    <row r="224" spans="1:1" s="4" customFormat="1" ht="13">
      <c r="A224" s="94"/>
    </row>
    <row r="225" spans="1:1" s="4" customFormat="1" ht="13">
      <c r="A225" s="94"/>
    </row>
    <row r="226" spans="1:1" s="4" customFormat="1" ht="13">
      <c r="A226" s="94"/>
    </row>
    <row r="227" spans="1:1" s="4" customFormat="1" ht="13">
      <c r="A227" s="94"/>
    </row>
    <row r="228" spans="1:1" s="4" customFormat="1" ht="13">
      <c r="A228" s="94"/>
    </row>
    <row r="229" spans="1:1" s="4" customFormat="1" ht="13">
      <c r="A229" s="94"/>
    </row>
    <row r="230" spans="1:1" s="4" customFormat="1" ht="13">
      <c r="A230" s="94"/>
    </row>
    <row r="231" spans="1:1" s="4" customFormat="1" ht="13">
      <c r="A231" s="94"/>
    </row>
    <row r="232" spans="1:1" s="4" customFormat="1" ht="13">
      <c r="A232" s="94"/>
    </row>
    <row r="233" spans="1:1" s="4" customFormat="1" ht="13">
      <c r="A233" s="94"/>
    </row>
    <row r="234" spans="1:1" s="4" customFormat="1" ht="13">
      <c r="A234" s="94"/>
    </row>
    <row r="235" spans="1:1" s="4" customFormat="1" ht="13">
      <c r="A235" s="94"/>
    </row>
    <row r="236" spans="1:1" s="4" customFormat="1" ht="13">
      <c r="A236" s="94"/>
    </row>
    <row r="237" spans="1:1" s="4" customFormat="1" ht="13">
      <c r="A237" s="94"/>
    </row>
    <row r="238" spans="1:1" s="4" customFormat="1" ht="13">
      <c r="A238" s="94"/>
    </row>
    <row r="239" spans="1:1" s="4" customFormat="1" ht="13">
      <c r="A239" s="94"/>
    </row>
    <row r="240" spans="1:1" s="4" customFormat="1" ht="13">
      <c r="A240" s="94"/>
    </row>
    <row r="241" spans="1:1" s="4" customFormat="1" ht="13">
      <c r="A241" s="94"/>
    </row>
    <row r="242" spans="1:1" s="4" customFormat="1" ht="13">
      <c r="A242" s="94"/>
    </row>
    <row r="243" spans="1:1" s="4" customFormat="1" ht="13">
      <c r="A243" s="94"/>
    </row>
    <row r="244" spans="1:1" s="4" customFormat="1" ht="13">
      <c r="A244" s="94"/>
    </row>
    <row r="245" spans="1:1" s="4" customFormat="1" ht="13">
      <c r="A245" s="94"/>
    </row>
    <row r="246" spans="1:1" s="4" customFormat="1" ht="13">
      <c r="A246" s="94"/>
    </row>
    <row r="247" spans="1:1" s="4" customFormat="1" ht="13">
      <c r="A247" s="94"/>
    </row>
    <row r="248" spans="1:1" s="4" customFormat="1" ht="13">
      <c r="A248" s="94"/>
    </row>
    <row r="249" spans="1:1" s="4" customFormat="1" ht="13">
      <c r="A249" s="94"/>
    </row>
    <row r="250" spans="1:1" s="4" customFormat="1" ht="13">
      <c r="A250" s="94"/>
    </row>
    <row r="251" spans="1:1" s="4" customFormat="1" ht="13">
      <c r="A251" s="94"/>
    </row>
  </sheetData>
  <phoneticPr fontId="2" type="noConversion"/>
  <conditionalFormatting sqref="B2 E4:I4">
    <cfRule type="containsText" dxfId="3" priority="8" operator="containsText" text="OK">
      <formula>NOT(ISERROR(SEARCH("OK",B2)))</formula>
    </cfRule>
    <cfRule type="containsText" dxfId="2" priority="9" operator="containsText" text="ERROR">
      <formula>NOT(ISERROR(SEARCH("ERROR",B2)))</formula>
    </cfRule>
  </conditionalFormatting>
  <conditionalFormatting sqref="C3:I3">
    <cfRule type="containsText" dxfId="1" priority="1" operator="containsText" text="OK">
      <formula>NOT(ISERROR(SEARCH("OK",C3)))</formula>
    </cfRule>
    <cfRule type="containsText" dxfId="0" priority="2" operator="containsText" text="ERROR">
      <formula>NOT(ISERROR(SEARCH("ERROR",C3)))</formula>
    </cfRule>
  </conditionalFormatting>
  <pageMargins left="0.75" right="0.75" top="1" bottom="1" header="0.5" footer="0.5"/>
  <pageSetup scale="57" fitToHeight="0" orientation="landscape" blackAndWhite="1" r:id="rId1"/>
  <headerFooter alignWithMargins="0">
    <oddFooter>&amp;R&amp;6© Management Development Associates (NA) Inc. - 21317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>MDA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Powell</dc:creator>
  <cp:lastModifiedBy>PGK</cp:lastModifiedBy>
  <cp:lastPrinted>2015-09-02T16:35:08Z</cp:lastPrinted>
  <dcterms:created xsi:type="dcterms:W3CDTF">2003-01-29T13:43:56Z</dcterms:created>
  <dcterms:modified xsi:type="dcterms:W3CDTF">2019-01-09T21:52:58Z</dcterms:modified>
</cp:coreProperties>
</file>